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iko.rasanen\Desktop\Päivitys 13.4.2022(tarkista laskemalla)\"/>
    </mc:Choice>
  </mc:AlternateContent>
  <xr:revisionPtr revIDLastSave="0" documentId="13_ncr:1_{47BD2B14-AB7F-427F-B0DC-FFBA92964A0C}" xr6:coauthVersionLast="47" xr6:coauthVersionMax="47" xr10:uidLastSave="{00000000-0000-0000-0000-000000000000}"/>
  <bookViews>
    <workbookView xWindow="0" yWindow="45" windowWidth="21390" windowHeight="20280" tabRatio="970" xr2:uid="{00000000-000D-0000-FFFF-FFFF00000000}"/>
  </bookViews>
  <sheets>
    <sheet name="Etusivu" sheetId="10" r:id="rId1"/>
    <sheet name="Pyöreät kanavat ja osat" sheetId="14" r:id="rId2"/>
    <sheet name="Suorakaidekanavat" sheetId="12" r:id="rId3"/>
    <sheet name="Venttiilit" sheetId="9" r:id="rId4"/>
    <sheet name="Ilmanvaihtokoneet" sheetId="7" r:id="rId5"/>
    <sheet name="Pienkojeet" sheetId="2" r:id="rId6"/>
    <sheet name="Aksiaalipuhaltimet" sheetId="15" r:id="rId7"/>
    <sheet name="Lyhenteitä" sheetId="1" r:id="rId8"/>
    <sheet name="Urakkatunnit" sheetId="17" r:id="rId9"/>
    <sheet name="Välipohjat" sheetId="18" r:id="rId10"/>
    <sheet name="NHK muuttuu kesken urakan" sheetId="19" r:id="rId11"/>
    <sheet name="Etumieslisä" sheetId="20" r:id="rId12"/>
    <sheet name="Jakolista" sheetId="21" r:id="rId13"/>
  </sheets>
  <definedNames>
    <definedName name="_xlnm.Print_Area" localSheetId="6">Aksiaalipuhaltimet!$A$1:$Q$155</definedName>
    <definedName name="_xlnm.Print_Area" localSheetId="11">Etumieslisä!$A$1:$N$42</definedName>
    <definedName name="_xlnm.Print_Area" localSheetId="0">Etusivu!$A$33:$S$582</definedName>
    <definedName name="_xlnm.Print_Area" localSheetId="4">Ilmanvaihtokoneet!$A$1:$Q$83</definedName>
    <definedName name="_xlnm.Print_Area" localSheetId="12">Jakolista!$A$1:$N$49</definedName>
    <definedName name="_xlnm.Print_Area" localSheetId="10">'NHK muuttuu kesken urakan'!$A$1:$N$34</definedName>
    <definedName name="_xlnm.Print_Area" localSheetId="5">Pienkojeet!$A$1:$R$93</definedName>
    <definedName name="_xlnm.Print_Area" localSheetId="1">'Pyöreät kanavat ja osat'!$A$1:$R$190</definedName>
    <definedName name="_xlnm.Print_Area" localSheetId="2">Suorakaidekanavat!$A$1:$Q$116</definedName>
    <definedName name="_xlnm.Print_Area" localSheetId="8">Urakkatunnit!$A$1:$K$42</definedName>
    <definedName name="_xlnm.Print_Area" localSheetId="3">Venttiilit!$A$1:$Q$123</definedName>
    <definedName name="_xlnm.Print_Area" localSheetId="9">Välipohjat!$A$1:$N$42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84" i="2" l="1"/>
  <c r="Q84" i="2" s="1"/>
  <c r="Q335" i="10" s="1"/>
  <c r="R335" i="10" s="1"/>
  <c r="O85" i="2"/>
  <c r="Q85" i="2" s="1"/>
  <c r="Q336" i="10" s="1"/>
  <c r="R336" i="10" s="1"/>
  <c r="O68" i="2"/>
  <c r="Q68" i="2" s="1"/>
  <c r="N335" i="10" s="1"/>
  <c r="O335" i="10" s="1"/>
  <c r="O69" i="2"/>
  <c r="Q69" i="2" s="1"/>
  <c r="N336" i="10" s="1"/>
  <c r="O336" i="10" s="1"/>
  <c r="Q117" i="12"/>
  <c r="Q147" i="10" s="1"/>
  <c r="R147" i="10" s="1"/>
  <c r="Q158" i="14"/>
  <c r="Q118" i="10" s="1"/>
  <c r="R118" i="10" s="1"/>
  <c r="S451" i="10" l="1"/>
  <c r="J451" i="10"/>
  <c r="S450" i="10"/>
  <c r="J450" i="10"/>
  <c r="S449" i="10"/>
  <c r="J449" i="10"/>
  <c r="S448" i="10"/>
  <c r="J448" i="10"/>
  <c r="S447" i="10"/>
  <c r="J447" i="10"/>
  <c r="S446" i="10"/>
  <c r="J446" i="10"/>
  <c r="S445" i="10"/>
  <c r="J445" i="10"/>
  <c r="S444" i="10"/>
  <c r="J444" i="10"/>
  <c r="S443" i="10"/>
  <c r="J443" i="10"/>
  <c r="S442" i="10"/>
  <c r="J442" i="10"/>
  <c r="S441" i="10"/>
  <c r="J441" i="10"/>
  <c r="S440" i="10"/>
  <c r="J440" i="10"/>
  <c r="S439" i="10"/>
  <c r="J439" i="10"/>
  <c r="S438" i="10"/>
  <c r="J438" i="10"/>
  <c r="S437" i="10"/>
  <c r="J437" i="10"/>
  <c r="S436" i="10"/>
  <c r="J436" i="10"/>
  <c r="S435" i="10"/>
  <c r="J435" i="10"/>
  <c r="S434" i="10"/>
  <c r="J434" i="10"/>
  <c r="S433" i="10"/>
  <c r="J433" i="10"/>
  <c r="S432" i="10"/>
  <c r="J432" i="10"/>
  <c r="S431" i="10"/>
  <c r="J431" i="10"/>
  <c r="S430" i="10"/>
  <c r="J430" i="10"/>
  <c r="S429" i="10"/>
  <c r="J429" i="10"/>
  <c r="S428" i="10"/>
  <c r="J428" i="10"/>
  <c r="S427" i="10"/>
  <c r="J427" i="10"/>
  <c r="S426" i="10"/>
  <c r="J426" i="10"/>
  <c r="S425" i="10"/>
  <c r="J425" i="10"/>
  <c r="S424" i="10"/>
  <c r="J424" i="10"/>
  <c r="S423" i="10"/>
  <c r="J423" i="10"/>
  <c r="S422" i="10"/>
  <c r="J422" i="10"/>
  <c r="S421" i="10"/>
  <c r="J421" i="10"/>
  <c r="S420" i="10"/>
  <c r="J420" i="10"/>
  <c r="S419" i="10"/>
  <c r="J419" i="10"/>
  <c r="S418" i="10"/>
  <c r="J418" i="10"/>
  <c r="J463" i="10"/>
  <c r="S463" i="10"/>
  <c r="J464" i="10"/>
  <c r="S464" i="10"/>
  <c r="J465" i="10"/>
  <c r="S465" i="10"/>
  <c r="J466" i="10"/>
  <c r="S466" i="10"/>
  <c r="J467" i="10"/>
  <c r="S467" i="10"/>
  <c r="J468" i="10"/>
  <c r="S468" i="10"/>
  <c r="J469" i="10"/>
  <c r="S469" i="10"/>
  <c r="J470" i="10"/>
  <c r="S470" i="10"/>
  <c r="J471" i="10"/>
  <c r="S471" i="10"/>
  <c r="J472" i="10"/>
  <c r="S472" i="10"/>
  <c r="J473" i="10"/>
  <c r="S473" i="10"/>
  <c r="J474" i="10"/>
  <c r="S474" i="10"/>
  <c r="J475" i="10"/>
  <c r="S475" i="10"/>
  <c r="J476" i="10"/>
  <c r="S476" i="10"/>
  <c r="J477" i="10"/>
  <c r="S477" i="10"/>
  <c r="J478" i="10"/>
  <c r="S478" i="10"/>
  <c r="J479" i="10"/>
  <c r="S479" i="10"/>
  <c r="O191" i="14"/>
  <c r="Q191" i="14" s="1"/>
  <c r="M127" i="10" s="1"/>
  <c r="O39" i="2"/>
  <c r="Q39" i="2" s="1"/>
  <c r="F335" i="10" s="1"/>
  <c r="G335" i="10" s="1"/>
  <c r="O38" i="2"/>
  <c r="Q38" i="2" s="1"/>
  <c r="F334" i="10" s="1"/>
  <c r="G334" i="10" s="1"/>
  <c r="O37" i="2"/>
  <c r="Q37" i="2" s="1"/>
  <c r="F333" i="10" s="1"/>
  <c r="G333" i="10" s="1"/>
  <c r="O36" i="2"/>
  <c r="Q36" i="2" s="1"/>
  <c r="F332" i="10" s="1"/>
  <c r="G332" i="10" s="1"/>
  <c r="O35" i="2"/>
  <c r="Q35" i="2" s="1"/>
  <c r="F331" i="10" s="1"/>
  <c r="G331" i="10" s="1"/>
  <c r="O34" i="2"/>
  <c r="Q34" i="2" s="1"/>
  <c r="F330" i="10" s="1"/>
  <c r="G330" i="10" s="1"/>
  <c r="J452" i="10" l="1"/>
  <c r="S452" i="10"/>
  <c r="R454" i="10" s="1"/>
  <c r="G337" i="10"/>
  <c r="O77" i="2"/>
  <c r="Q328" i="10" s="1"/>
  <c r="R328" i="10" s="1"/>
  <c r="O78" i="2"/>
  <c r="Q329" i="10" s="1"/>
  <c r="R329" i="10" s="1"/>
  <c r="O79" i="2"/>
  <c r="Q79" i="2" s="1"/>
  <c r="O80" i="2"/>
  <c r="Q331" i="10" s="1"/>
  <c r="R331" i="10" s="1"/>
  <c r="O81" i="2"/>
  <c r="Q332" i="10" s="1"/>
  <c r="R332" i="10" s="1"/>
  <c r="O82" i="2"/>
  <c r="Q82" i="2" s="1"/>
  <c r="O83" i="2"/>
  <c r="O76" i="2"/>
  <c r="Q327" i="10" s="1"/>
  <c r="R327" i="10" s="1"/>
  <c r="O60" i="2"/>
  <c r="Q60" i="2" s="1"/>
  <c r="N327" i="10" s="1"/>
  <c r="O327" i="10" s="1"/>
  <c r="O67" i="2"/>
  <c r="Q67" i="2" s="1"/>
  <c r="N334" i="10" s="1"/>
  <c r="O334" i="10" s="1"/>
  <c r="O66" i="2"/>
  <c r="Q66" i="2" s="1"/>
  <c r="N333" i="10" s="1"/>
  <c r="O333" i="10" s="1"/>
  <c r="O65" i="2"/>
  <c r="Q65" i="2" s="1"/>
  <c r="N332" i="10" s="1"/>
  <c r="O332" i="10" s="1"/>
  <c r="O64" i="2"/>
  <c r="Q64" i="2" s="1"/>
  <c r="N331" i="10" s="1"/>
  <c r="O331" i="10" s="1"/>
  <c r="O63" i="2"/>
  <c r="Q63" i="2" s="1"/>
  <c r="N330" i="10" s="1"/>
  <c r="O330" i="10" s="1"/>
  <c r="O62" i="2"/>
  <c r="Q62" i="2" s="1"/>
  <c r="N329" i="10" s="1"/>
  <c r="O329" i="10" s="1"/>
  <c r="O61" i="2"/>
  <c r="Q61" i="2" s="1"/>
  <c r="N328" i="10" s="1"/>
  <c r="O328" i="10" s="1"/>
  <c r="F35" i="17"/>
  <c r="E8" i="19"/>
  <c r="B17" i="19" s="1"/>
  <c r="G13" i="20"/>
  <c r="I13" i="20"/>
  <c r="G12" i="20"/>
  <c r="I12" i="20" s="1"/>
  <c r="G11" i="20"/>
  <c r="I11" i="20"/>
  <c r="G10" i="20"/>
  <c r="I10" i="20" s="1"/>
  <c r="M23" i="18"/>
  <c r="H29" i="21"/>
  <c r="M24" i="18"/>
  <c r="H30" i="21" s="1"/>
  <c r="M25" i="18"/>
  <c r="H31" i="21"/>
  <c r="M22" i="18"/>
  <c r="H28" i="21" s="1"/>
  <c r="M9" i="18"/>
  <c r="H14" i="21" s="1"/>
  <c r="J14" i="21" s="1"/>
  <c r="M10" i="18"/>
  <c r="H15" i="21" s="1"/>
  <c r="M11" i="18"/>
  <c r="H16" i="21" s="1"/>
  <c r="M12" i="18"/>
  <c r="H17" i="21"/>
  <c r="M13" i="18"/>
  <c r="H18" i="21" s="1"/>
  <c r="M14" i="18"/>
  <c r="H19" i="21"/>
  <c r="J19" i="21"/>
  <c r="M15" i="18"/>
  <c r="H20" i="21"/>
  <c r="M16" i="18"/>
  <c r="H21" i="21"/>
  <c r="M17" i="18"/>
  <c r="H22" i="21"/>
  <c r="M18" i="18"/>
  <c r="H23" i="21"/>
  <c r="M19" i="18"/>
  <c r="H24" i="21" s="1"/>
  <c r="M20" i="18"/>
  <c r="H25" i="21" s="1"/>
  <c r="M21" i="18"/>
  <c r="H26" i="21" s="1"/>
  <c r="A23" i="18"/>
  <c r="A24" i="18"/>
  <c r="A25" i="18"/>
  <c r="A22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G9" i="20"/>
  <c r="I9" i="20" s="1"/>
  <c r="G8" i="20"/>
  <c r="I8" i="20" s="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8" i="21"/>
  <c r="A29" i="21"/>
  <c r="A30" i="21"/>
  <c r="A31" i="21"/>
  <c r="H11" i="17"/>
  <c r="H12" i="17"/>
  <c r="D14" i="21"/>
  <c r="F14" i="21"/>
  <c r="H13" i="17"/>
  <c r="D15" i="21" s="1"/>
  <c r="F15" i="21" s="1"/>
  <c r="H14" i="17"/>
  <c r="D16" i="21"/>
  <c r="F16" i="21" s="1"/>
  <c r="H15" i="17"/>
  <c r="D17" i="21" s="1"/>
  <c r="F17" i="21" s="1"/>
  <c r="H16" i="17"/>
  <c r="D18" i="21"/>
  <c r="F18" i="21" s="1"/>
  <c r="H17" i="17"/>
  <c r="D19" i="21" s="1"/>
  <c r="F19" i="21"/>
  <c r="H18" i="17"/>
  <c r="D20" i="21" s="1"/>
  <c r="F20" i="21" s="1"/>
  <c r="H19" i="17"/>
  <c r="D21" i="21"/>
  <c r="F21" i="21" s="1"/>
  <c r="H20" i="17"/>
  <c r="D22" i="21"/>
  <c r="F22" i="21"/>
  <c r="H21" i="17"/>
  <c r="D23" i="21" s="1"/>
  <c r="F23" i="21" s="1"/>
  <c r="H22" i="17"/>
  <c r="D24" i="21"/>
  <c r="F24" i="21" s="1"/>
  <c r="H23" i="17"/>
  <c r="D25" i="21" s="1"/>
  <c r="F25" i="21" s="1"/>
  <c r="H24" i="17"/>
  <c r="D26" i="21"/>
  <c r="F26" i="21" s="1"/>
  <c r="H26" i="17"/>
  <c r="D28" i="21" s="1"/>
  <c r="F28" i="21"/>
  <c r="H27" i="17"/>
  <c r="D29" i="21" s="1"/>
  <c r="F29" i="21" s="1"/>
  <c r="H28" i="17"/>
  <c r="D30" i="21"/>
  <c r="F30" i="21" s="1"/>
  <c r="H29" i="17"/>
  <c r="D31" i="21"/>
  <c r="F31" i="21"/>
  <c r="I11" i="17"/>
  <c r="G13" i="21" s="1"/>
  <c r="I12" i="17"/>
  <c r="G14" i="21"/>
  <c r="I13" i="17"/>
  <c r="G15" i="21" s="1"/>
  <c r="J15" i="21" s="1"/>
  <c r="I14" i="17"/>
  <c r="G16" i="21" s="1"/>
  <c r="J16" i="21" s="1"/>
  <c r="I15" i="17"/>
  <c r="G17" i="21"/>
  <c r="I16" i="17"/>
  <c r="G18" i="21"/>
  <c r="I17" i="17"/>
  <c r="G19" i="21"/>
  <c r="I18" i="17"/>
  <c r="G20" i="21" s="1"/>
  <c r="I19" i="17"/>
  <c r="G21" i="21"/>
  <c r="I20" i="17"/>
  <c r="G22" i="21" s="1"/>
  <c r="J22" i="21" s="1"/>
  <c r="I21" i="17"/>
  <c r="G23" i="21" s="1"/>
  <c r="J23" i="21" s="1"/>
  <c r="I22" i="17"/>
  <c r="G24" i="21" s="1"/>
  <c r="I23" i="17"/>
  <c r="G25" i="21"/>
  <c r="I24" i="17"/>
  <c r="G26" i="21" s="1"/>
  <c r="I26" i="17"/>
  <c r="G28" i="21"/>
  <c r="I27" i="17"/>
  <c r="G29" i="21"/>
  <c r="J29" i="21"/>
  <c r="I28" i="17"/>
  <c r="G30" i="21" s="1"/>
  <c r="I29" i="17"/>
  <c r="G31" i="21" s="1"/>
  <c r="J31" i="21" s="1"/>
  <c r="D34" i="21"/>
  <c r="D35" i="21"/>
  <c r="D36" i="21"/>
  <c r="D33" i="21"/>
  <c r="A34" i="21"/>
  <c r="A35" i="21"/>
  <c r="A36" i="21"/>
  <c r="A33" i="21"/>
  <c r="I32" i="17"/>
  <c r="J34" i="21"/>
  <c r="H31" i="17"/>
  <c r="H32" i="17"/>
  <c r="I31" i="17"/>
  <c r="J33" i="21"/>
  <c r="H33" i="17"/>
  <c r="H34" i="17"/>
  <c r="I33" i="17"/>
  <c r="J35" i="21"/>
  <c r="I34" i="17"/>
  <c r="O147" i="15"/>
  <c r="Q147" i="15" s="1"/>
  <c r="L377" i="10" s="1"/>
  <c r="M377" i="10" s="1"/>
  <c r="O146" i="15"/>
  <c r="Q146" i="15" s="1"/>
  <c r="L376" i="10" s="1"/>
  <c r="M376" i="10" s="1"/>
  <c r="O137" i="15"/>
  <c r="Q137" i="15" s="1"/>
  <c r="I377" i="10" s="1"/>
  <c r="J377" i="10" s="1"/>
  <c r="O136" i="15"/>
  <c r="Q136" i="15" s="1"/>
  <c r="I376" i="10" s="1"/>
  <c r="J376" i="10" s="1"/>
  <c r="O125" i="9"/>
  <c r="Q125" i="9" s="1"/>
  <c r="F252" i="10"/>
  <c r="G252" i="10" s="1"/>
  <c r="O124" i="9"/>
  <c r="Q124" i="9" s="1"/>
  <c r="F251" i="10"/>
  <c r="G251" i="10" s="1"/>
  <c r="O123" i="9"/>
  <c r="Q123" i="9" s="1"/>
  <c r="F250" i="10" s="1"/>
  <c r="G250" i="10" s="1"/>
  <c r="O122" i="9"/>
  <c r="Q122" i="9" s="1"/>
  <c r="F249" i="10" s="1"/>
  <c r="G249" i="10" s="1"/>
  <c r="O121" i="9"/>
  <c r="Q121" i="9" s="1"/>
  <c r="F248" i="10"/>
  <c r="G248" i="10" s="1"/>
  <c r="O120" i="9"/>
  <c r="Q120" i="9" s="1"/>
  <c r="F247" i="10"/>
  <c r="G247" i="10" s="1"/>
  <c r="O119" i="9"/>
  <c r="Q119" i="9" s="1"/>
  <c r="F246" i="10" s="1"/>
  <c r="G246" i="10" s="1"/>
  <c r="O118" i="9"/>
  <c r="Q118" i="9" s="1"/>
  <c r="F245" i="10" s="1"/>
  <c r="G245" i="10" s="1"/>
  <c r="O117" i="9"/>
  <c r="Q117" i="9" s="1"/>
  <c r="F244" i="10"/>
  <c r="G244" i="10" s="1"/>
  <c r="O152" i="14"/>
  <c r="Q152" i="14" s="1"/>
  <c r="R99" i="10" s="1"/>
  <c r="S99" i="10" s="1"/>
  <c r="O151" i="14"/>
  <c r="Q151" i="14" s="1"/>
  <c r="R98" i="10" s="1"/>
  <c r="S98" i="10" s="1"/>
  <c r="O150" i="14"/>
  <c r="Q150" i="14" s="1"/>
  <c r="R97" i="10" s="1"/>
  <c r="S97" i="10" s="1"/>
  <c r="O149" i="14"/>
  <c r="Q149" i="14" s="1"/>
  <c r="R96" i="10" s="1"/>
  <c r="S96" i="10" s="1"/>
  <c r="O148" i="14"/>
  <c r="Q148" i="14" s="1"/>
  <c r="R95" i="10" s="1"/>
  <c r="S95" i="10" s="1"/>
  <c r="O147" i="14"/>
  <c r="Q147" i="14" s="1"/>
  <c r="R94" i="10" s="1"/>
  <c r="S94" i="10" s="1"/>
  <c r="O146" i="14"/>
  <c r="Q146" i="14" s="1"/>
  <c r="R93" i="10" s="1"/>
  <c r="S93" i="10" s="1"/>
  <c r="O145" i="14"/>
  <c r="Q145" i="14" s="1"/>
  <c r="R92" i="10" s="1"/>
  <c r="S92" i="10" s="1"/>
  <c r="O144" i="14"/>
  <c r="Q144" i="14" s="1"/>
  <c r="R91" i="10" s="1"/>
  <c r="S91" i="10" s="1"/>
  <c r="O143" i="14"/>
  <c r="Q143" i="14" s="1"/>
  <c r="R90" i="10" s="1"/>
  <c r="S90" i="10" s="1"/>
  <c r="O165" i="14"/>
  <c r="Q165" i="14" s="1"/>
  <c r="F118" i="10" s="1"/>
  <c r="G118" i="10" s="1"/>
  <c r="O166" i="14"/>
  <c r="Q166" i="14" s="1"/>
  <c r="F120" i="10" s="1"/>
  <c r="G120" i="10" s="1"/>
  <c r="O168" i="14"/>
  <c r="Q168" i="14" s="1"/>
  <c r="F119" i="10" s="1"/>
  <c r="G119" i="10" s="1"/>
  <c r="O169" i="14"/>
  <c r="Q169" i="14" s="1"/>
  <c r="F121" i="10" s="1"/>
  <c r="G121" i="10" s="1"/>
  <c r="S496" i="10"/>
  <c r="O99" i="2"/>
  <c r="Q99" i="2" s="1"/>
  <c r="P316" i="10" s="1"/>
  <c r="Q316" i="10" s="1"/>
  <c r="Q318" i="10" s="1"/>
  <c r="O53" i="2"/>
  <c r="Q53" i="2" s="1"/>
  <c r="J336" i="10" s="1"/>
  <c r="K336" i="10" s="1"/>
  <c r="O52" i="2"/>
  <c r="Q52" i="2" s="1"/>
  <c r="J335" i="10" s="1"/>
  <c r="K335" i="10" s="1"/>
  <c r="O51" i="2"/>
  <c r="Q51" i="2" s="1"/>
  <c r="J334" i="10" s="1"/>
  <c r="K334" i="10" s="1"/>
  <c r="O50" i="2"/>
  <c r="Q50" i="2" s="1"/>
  <c r="J333" i="10" s="1"/>
  <c r="K333" i="10" s="1"/>
  <c r="O49" i="2"/>
  <c r="Q49" i="2" s="1"/>
  <c r="J332" i="10" s="1"/>
  <c r="K332" i="10" s="1"/>
  <c r="O48" i="2"/>
  <c r="Q48" i="2" s="1"/>
  <c r="J331" i="10" s="1"/>
  <c r="K331" i="10" s="1"/>
  <c r="O47" i="2"/>
  <c r="Q47" i="2" s="1"/>
  <c r="J330" i="10" s="1"/>
  <c r="K330" i="10" s="1"/>
  <c r="O46" i="2"/>
  <c r="Q46" i="2" s="1"/>
  <c r="J329" i="10" s="1"/>
  <c r="K329" i="10" s="1"/>
  <c r="O15" i="2"/>
  <c r="Q15" i="2" s="1"/>
  <c r="I315" i="10" s="1"/>
  <c r="J315" i="10" s="1"/>
  <c r="O14" i="2"/>
  <c r="Q14" i="2" s="1"/>
  <c r="I314" i="10" s="1"/>
  <c r="J314" i="10" s="1"/>
  <c r="O93" i="2"/>
  <c r="Q93" i="2" s="1"/>
  <c r="P310" i="10" s="1"/>
  <c r="Q310" i="10" s="1"/>
  <c r="O92" i="2"/>
  <c r="Q92" i="2" s="1"/>
  <c r="P309" i="10" s="1"/>
  <c r="Q309" i="10" s="1"/>
  <c r="O110" i="9"/>
  <c r="Q110" i="9" s="1"/>
  <c r="C252" i="10" s="1"/>
  <c r="D252" i="10" s="1"/>
  <c r="O109" i="9"/>
  <c r="Q109" i="9" s="1"/>
  <c r="C251" i="10" s="1"/>
  <c r="D251" i="10" s="1"/>
  <c r="O108" i="9"/>
  <c r="Q108" i="9" s="1"/>
  <c r="C250" i="10"/>
  <c r="D250" i="10" s="1"/>
  <c r="O107" i="9"/>
  <c r="Q107" i="9" s="1"/>
  <c r="C249" i="10"/>
  <c r="D249" i="10" s="1"/>
  <c r="O106" i="9"/>
  <c r="Q106" i="9" s="1"/>
  <c r="C248" i="10" s="1"/>
  <c r="D248" i="10" s="1"/>
  <c r="O105" i="9"/>
  <c r="Q105" i="9" s="1"/>
  <c r="C247" i="10" s="1"/>
  <c r="D247" i="10" s="1"/>
  <c r="O104" i="9"/>
  <c r="Q104" i="9" s="1"/>
  <c r="C246" i="10"/>
  <c r="D246" i="10" s="1"/>
  <c r="O103" i="9"/>
  <c r="Q103" i="9" s="1"/>
  <c r="C245" i="10"/>
  <c r="D245" i="10" s="1"/>
  <c r="O102" i="9"/>
  <c r="Q102" i="9" s="1"/>
  <c r="C244" i="10" s="1"/>
  <c r="D244" i="10" s="1"/>
  <c r="O78" i="9"/>
  <c r="Q78" i="9" s="1"/>
  <c r="M230" i="10" s="1"/>
  <c r="N230" i="10" s="1"/>
  <c r="O79" i="9"/>
  <c r="Q79" i="9" s="1"/>
  <c r="M231" i="10"/>
  <c r="N231" i="10" s="1"/>
  <c r="O80" i="9"/>
  <c r="Q80" i="9" s="1"/>
  <c r="M232" i="10" s="1"/>
  <c r="N232" i="10" s="1"/>
  <c r="O81" i="9"/>
  <c r="Q81" i="9" s="1"/>
  <c r="M233" i="10" s="1"/>
  <c r="N233" i="10" s="1"/>
  <c r="O82" i="9"/>
  <c r="Q82" i="9" s="1"/>
  <c r="M234" i="10" s="1"/>
  <c r="N234" i="10" s="1"/>
  <c r="Q564" i="10"/>
  <c r="Q563" i="10"/>
  <c r="Q562" i="10"/>
  <c r="Q561" i="10"/>
  <c r="Q560" i="10"/>
  <c r="Q559" i="10"/>
  <c r="N564" i="10"/>
  <c r="N563" i="10"/>
  <c r="N562" i="10"/>
  <c r="N561" i="10"/>
  <c r="N560" i="10"/>
  <c r="N559" i="10"/>
  <c r="N558" i="10"/>
  <c r="N557" i="10"/>
  <c r="N556" i="10"/>
  <c r="K564" i="10"/>
  <c r="K563" i="10"/>
  <c r="K562" i="10"/>
  <c r="K561" i="10"/>
  <c r="K560" i="10"/>
  <c r="K559" i="10"/>
  <c r="K558" i="10"/>
  <c r="K557" i="10"/>
  <c r="K556" i="10"/>
  <c r="D4" i="21"/>
  <c r="A7" i="18"/>
  <c r="S495" i="10"/>
  <c r="S494" i="10"/>
  <c r="S493" i="10"/>
  <c r="S492" i="10"/>
  <c r="S491" i="10"/>
  <c r="S490" i="10"/>
  <c r="S489" i="10"/>
  <c r="S488" i="10"/>
  <c r="S487" i="10"/>
  <c r="S486" i="10"/>
  <c r="S485" i="10"/>
  <c r="S484" i="10"/>
  <c r="S483" i="10"/>
  <c r="S482" i="10"/>
  <c r="S481" i="10"/>
  <c r="S480" i="10"/>
  <c r="J480" i="10"/>
  <c r="J481" i="10"/>
  <c r="J482" i="10"/>
  <c r="J483" i="10"/>
  <c r="J484" i="10"/>
  <c r="J485" i="10"/>
  <c r="J486" i="10"/>
  <c r="J487" i="10"/>
  <c r="J488" i="10"/>
  <c r="J489" i="10"/>
  <c r="J490" i="10"/>
  <c r="J491" i="10"/>
  <c r="J492" i="10"/>
  <c r="J493" i="10"/>
  <c r="J494" i="10"/>
  <c r="J495" i="10"/>
  <c r="J496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395" i="10"/>
  <c r="S394" i="10"/>
  <c r="J410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396" i="10"/>
  <c r="J395" i="10"/>
  <c r="J394" i="10"/>
  <c r="A12" i="21"/>
  <c r="G25" i="20"/>
  <c r="I23" i="20"/>
  <c r="I22" i="20"/>
  <c r="I21" i="20"/>
  <c r="L26" i="18"/>
  <c r="K26" i="18"/>
  <c r="J26" i="18"/>
  <c r="I26" i="18"/>
  <c r="H26" i="18"/>
  <c r="G26" i="18"/>
  <c r="F26" i="18"/>
  <c r="E26" i="18"/>
  <c r="D26" i="18"/>
  <c r="M8" i="18"/>
  <c r="H13" i="21"/>
  <c r="M7" i="18"/>
  <c r="H12" i="21" s="1"/>
  <c r="J12" i="21" s="1"/>
  <c r="C8" i="19"/>
  <c r="H25" i="19"/>
  <c r="C7" i="19"/>
  <c r="H23" i="19" s="1"/>
  <c r="C6" i="19"/>
  <c r="H21" i="19"/>
  <c r="D35" i="17"/>
  <c r="E7" i="19" s="1"/>
  <c r="B14" i="19" s="1"/>
  <c r="B35" i="17"/>
  <c r="E6" i="19"/>
  <c r="E9" i="19" s="1"/>
  <c r="I10" i="17"/>
  <c r="G12" i="21" s="1"/>
  <c r="H10" i="17"/>
  <c r="D12" i="21"/>
  <c r="P536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534" i="10"/>
  <c r="P535" i="10"/>
  <c r="P506" i="10"/>
  <c r="P507" i="10"/>
  <c r="P505" i="10"/>
  <c r="K578" i="10"/>
  <c r="K577" i="10"/>
  <c r="K576" i="10"/>
  <c r="K574" i="10"/>
  <c r="K573" i="10"/>
  <c r="O145" i="15"/>
  <c r="Q145" i="15" s="1"/>
  <c r="L375" i="10" s="1"/>
  <c r="M375" i="10" s="1"/>
  <c r="O144" i="15"/>
  <c r="Q144" i="15" s="1"/>
  <c r="L374" i="10" s="1"/>
  <c r="M374" i="10" s="1"/>
  <c r="O143" i="15"/>
  <c r="Q143" i="15" s="1"/>
  <c r="L373" i="10" s="1"/>
  <c r="M373" i="10" s="1"/>
  <c r="O135" i="15"/>
  <c r="Q135" i="15" s="1"/>
  <c r="I375" i="10" s="1"/>
  <c r="J375" i="10" s="1"/>
  <c r="O134" i="15"/>
  <c r="Q134" i="15" s="1"/>
  <c r="I374" i="10" s="1"/>
  <c r="J374" i="10" s="1"/>
  <c r="O133" i="15"/>
  <c r="Q133" i="15" s="1"/>
  <c r="I373" i="10" s="1"/>
  <c r="J373" i="10" s="1"/>
  <c r="O72" i="15"/>
  <c r="Q72" i="15"/>
  <c r="P360" i="10" s="1"/>
  <c r="Q360" i="10" s="1"/>
  <c r="O71" i="15"/>
  <c r="Q71" i="15"/>
  <c r="M360" i="10"/>
  <c r="N360" i="10" s="1"/>
  <c r="O70" i="15"/>
  <c r="Q70" i="15"/>
  <c r="J360" i="10"/>
  <c r="K360" i="10" s="1"/>
  <c r="O69" i="15"/>
  <c r="Q69" i="15"/>
  <c r="G360" i="10" s="1"/>
  <c r="H360" i="10" s="1"/>
  <c r="O68" i="15"/>
  <c r="Q68" i="15"/>
  <c r="D360" i="10" s="1"/>
  <c r="E360" i="10" s="1"/>
  <c r="O125" i="15"/>
  <c r="Q125" i="15"/>
  <c r="P364" i="10" s="1"/>
  <c r="Q364" i="10" s="1"/>
  <c r="O124" i="15"/>
  <c r="Q124" i="15"/>
  <c r="M364" i="10"/>
  <c r="N364" i="10" s="1"/>
  <c r="O123" i="15"/>
  <c r="Q123" i="15"/>
  <c r="J364" i="10" s="1"/>
  <c r="K364" i="10" s="1"/>
  <c r="O122" i="15"/>
  <c r="Q122" i="15"/>
  <c r="G364" i="10" s="1"/>
  <c r="H364" i="10" s="1"/>
  <c r="O121" i="15"/>
  <c r="Q121" i="15"/>
  <c r="D364" i="10"/>
  <c r="E364" i="10" s="1"/>
  <c r="O110" i="15"/>
  <c r="Q110" i="15"/>
  <c r="P363" i="10"/>
  <c r="Q363" i="10" s="1"/>
  <c r="O109" i="15"/>
  <c r="Q109" i="15"/>
  <c r="M363" i="10" s="1"/>
  <c r="N363" i="10" s="1"/>
  <c r="O108" i="15"/>
  <c r="Q108" i="15"/>
  <c r="J363" i="10" s="1"/>
  <c r="K363" i="10" s="1"/>
  <c r="O107" i="15"/>
  <c r="Q107" i="15"/>
  <c r="G363" i="10" s="1"/>
  <c r="H363" i="10" s="1"/>
  <c r="O106" i="15"/>
  <c r="Q106" i="15"/>
  <c r="D363" i="10"/>
  <c r="E363" i="10" s="1"/>
  <c r="O98" i="15"/>
  <c r="Q98" i="15"/>
  <c r="P362" i="10" s="1"/>
  <c r="Q362" i="10" s="1"/>
  <c r="O97" i="15"/>
  <c r="Q97" i="15"/>
  <c r="M362" i="10" s="1"/>
  <c r="N362" i="10" s="1"/>
  <c r="O96" i="15"/>
  <c r="Q96" i="15"/>
  <c r="J362" i="10"/>
  <c r="K362" i="10" s="1"/>
  <c r="O95" i="15"/>
  <c r="Q95" i="15" s="1"/>
  <c r="G362" i="10" s="1"/>
  <c r="H362" i="10" s="1"/>
  <c r="O94" i="15"/>
  <c r="Q94" i="15" s="1"/>
  <c r="D362" i="10" s="1"/>
  <c r="E362" i="10" s="1"/>
  <c r="O86" i="15"/>
  <c r="Q86" i="15" s="1"/>
  <c r="P361" i="10" s="1"/>
  <c r="Q361" i="10" s="1"/>
  <c r="O85" i="15"/>
  <c r="Q85" i="15"/>
  <c r="M361" i="10"/>
  <c r="N361" i="10" s="1"/>
  <c r="O84" i="15"/>
  <c r="Q84" i="15" s="1"/>
  <c r="J361" i="10" s="1"/>
  <c r="K361" i="10" s="1"/>
  <c r="O83" i="15"/>
  <c r="Q83" i="15" s="1"/>
  <c r="G361" i="10" s="1"/>
  <c r="H361" i="10" s="1"/>
  <c r="O82" i="15"/>
  <c r="Q82" i="15" s="1"/>
  <c r="D361" i="10" s="1"/>
  <c r="E361" i="10" s="1"/>
  <c r="O60" i="15"/>
  <c r="Q60" i="15"/>
  <c r="P359" i="10"/>
  <c r="Q359" i="10" s="1"/>
  <c r="O59" i="15"/>
  <c r="Q59" i="15" s="1"/>
  <c r="M359" i="10" s="1"/>
  <c r="N359" i="10" s="1"/>
  <c r="O58" i="15"/>
  <c r="Q58" i="15" s="1"/>
  <c r="J359" i="10" s="1"/>
  <c r="K359" i="10" s="1"/>
  <c r="O57" i="15"/>
  <c r="Q57" i="15" s="1"/>
  <c r="G359" i="10" s="1"/>
  <c r="H359" i="10" s="1"/>
  <c r="O56" i="15"/>
  <c r="Q56" i="15"/>
  <c r="D359" i="10"/>
  <c r="E359" i="10" s="1"/>
  <c r="O48" i="15"/>
  <c r="Q48" i="15" s="1"/>
  <c r="P358" i="10" s="1"/>
  <c r="Q358" i="10" s="1"/>
  <c r="O47" i="15"/>
  <c r="Q47" i="15" s="1"/>
  <c r="M358" i="10" s="1"/>
  <c r="N358" i="10" s="1"/>
  <c r="O46" i="15"/>
  <c r="Q46" i="15" s="1"/>
  <c r="J358" i="10" s="1"/>
  <c r="K358" i="10" s="1"/>
  <c r="O45" i="15"/>
  <c r="Q45" i="15"/>
  <c r="G358" i="10"/>
  <c r="H358" i="10" s="1"/>
  <c r="O44" i="15"/>
  <c r="Q44" i="15" s="1"/>
  <c r="D358" i="10" s="1"/>
  <c r="E358" i="10" s="1"/>
  <c r="O35" i="15"/>
  <c r="Q35" i="15" s="1"/>
  <c r="P357" i="10" s="1"/>
  <c r="Q357" i="10" s="1"/>
  <c r="O34" i="15"/>
  <c r="Q34" i="15" s="1"/>
  <c r="M357" i="10" s="1"/>
  <c r="N357" i="10" s="1"/>
  <c r="O33" i="15"/>
  <c r="Q33" i="15"/>
  <c r="J357" i="10" s="1"/>
  <c r="K357" i="10" s="1"/>
  <c r="O32" i="15"/>
  <c r="Q32" i="15" s="1"/>
  <c r="G357" i="10" s="1"/>
  <c r="H357" i="10" s="1"/>
  <c r="O31" i="15"/>
  <c r="Q31" i="15"/>
  <c r="D357" i="10" s="1"/>
  <c r="E357" i="10" s="1"/>
  <c r="O24" i="15"/>
  <c r="Q24" i="15" s="1"/>
  <c r="P356" i="10" s="1"/>
  <c r="Q356" i="10" s="1"/>
  <c r="O23" i="15"/>
  <c r="Q23" i="15"/>
  <c r="M356" i="10" s="1"/>
  <c r="N356" i="10" s="1"/>
  <c r="O22" i="15"/>
  <c r="Q22" i="15" s="1"/>
  <c r="J356" i="10" s="1"/>
  <c r="K356" i="10" s="1"/>
  <c r="O21" i="15"/>
  <c r="Q21" i="15"/>
  <c r="G356" i="10" s="1"/>
  <c r="H356" i="10" s="1"/>
  <c r="O20" i="15"/>
  <c r="Q20" i="15" s="1"/>
  <c r="D356" i="10" s="1"/>
  <c r="E356" i="10" s="1"/>
  <c r="O13" i="15"/>
  <c r="Q13" i="15"/>
  <c r="P355" i="10" s="1"/>
  <c r="Q355" i="10" s="1"/>
  <c r="O12" i="15"/>
  <c r="Q12" i="15" s="1"/>
  <c r="M355" i="10" s="1"/>
  <c r="N355" i="10" s="1"/>
  <c r="O11" i="15"/>
  <c r="Q11" i="15"/>
  <c r="J355" i="10" s="1"/>
  <c r="K355" i="10" s="1"/>
  <c r="O10" i="15"/>
  <c r="Q10" i="15" s="1"/>
  <c r="G355" i="10" s="1"/>
  <c r="H355" i="10" s="1"/>
  <c r="O9" i="15"/>
  <c r="Q9" i="15"/>
  <c r="D355" i="10" s="1"/>
  <c r="E355" i="10" s="1"/>
  <c r="O27" i="2"/>
  <c r="Q27" i="2" s="1"/>
  <c r="C335" i="10" s="1"/>
  <c r="D335" i="10" s="1"/>
  <c r="O26" i="2"/>
  <c r="Q26" i="2" s="1"/>
  <c r="C334" i="10" s="1"/>
  <c r="D334" i="10" s="1"/>
  <c r="O25" i="2"/>
  <c r="Q25" i="2" s="1"/>
  <c r="C333" i="10" s="1"/>
  <c r="D333" i="10" s="1"/>
  <c r="O24" i="2"/>
  <c r="Q24" i="2" s="1"/>
  <c r="C332" i="10" s="1"/>
  <c r="D332" i="10" s="1"/>
  <c r="O23" i="2"/>
  <c r="Q23" i="2" s="1"/>
  <c r="C331" i="10" s="1"/>
  <c r="D331" i="10" s="1"/>
  <c r="O22" i="2"/>
  <c r="Q22" i="2" s="1"/>
  <c r="O13" i="2"/>
  <c r="Q13" i="2" s="1"/>
  <c r="I313" i="10" s="1"/>
  <c r="J313" i="10" s="1"/>
  <c r="O12" i="2"/>
  <c r="Q12" i="2" s="1"/>
  <c r="I312" i="10" s="1"/>
  <c r="J312" i="10" s="1"/>
  <c r="O11" i="2"/>
  <c r="Q11" i="2" s="1"/>
  <c r="I311" i="10" s="1"/>
  <c r="J311" i="10" s="1"/>
  <c r="O10" i="2"/>
  <c r="Q10" i="2" s="1"/>
  <c r="I310" i="10" s="1"/>
  <c r="J310" i="10" s="1"/>
  <c r="O9" i="2"/>
  <c r="Q9" i="2" s="1"/>
  <c r="I309" i="10" s="1"/>
  <c r="J309" i="10" s="1"/>
  <c r="O8" i="2"/>
  <c r="Q8" i="2" s="1"/>
  <c r="I308" i="10" s="1"/>
  <c r="J308" i="10" s="1"/>
  <c r="O7" i="2"/>
  <c r="Q7" i="2" s="1"/>
  <c r="I307" i="10" s="1"/>
  <c r="J307" i="10" s="1"/>
  <c r="O6" i="2"/>
  <c r="Q6" i="2" s="1"/>
  <c r="I306" i="10" s="1"/>
  <c r="J306" i="10" s="1"/>
  <c r="O50" i="7"/>
  <c r="O287" i="10"/>
  <c r="P287" i="10" s="1"/>
  <c r="O49" i="7"/>
  <c r="O286" i="10"/>
  <c r="P286" i="10" s="1"/>
  <c r="O48" i="7"/>
  <c r="O285" i="10" s="1"/>
  <c r="P285" i="10" s="1"/>
  <c r="O47" i="7"/>
  <c r="O284" i="10" s="1"/>
  <c r="P284" i="10" s="1"/>
  <c r="O46" i="7"/>
  <c r="O283" i="10"/>
  <c r="P283" i="10" s="1"/>
  <c r="O45" i="7"/>
  <c r="O282" i="10"/>
  <c r="P282" i="10" s="1"/>
  <c r="G50" i="7"/>
  <c r="L287" i="10" s="1"/>
  <c r="M287" i="10" s="1"/>
  <c r="G49" i="7"/>
  <c r="L286" i="10" s="1"/>
  <c r="M286" i="10" s="1"/>
  <c r="G48" i="7"/>
  <c r="L285" i="10"/>
  <c r="M285" i="10" s="1"/>
  <c r="G47" i="7"/>
  <c r="L284" i="10"/>
  <c r="M284" i="10" s="1"/>
  <c r="G46" i="7"/>
  <c r="L283" i="10" s="1"/>
  <c r="M283" i="10" s="1"/>
  <c r="G45" i="7"/>
  <c r="L282" i="10" s="1"/>
  <c r="M282" i="10" s="1"/>
  <c r="O39" i="7"/>
  <c r="I287" i="10"/>
  <c r="J287" i="10" s="1"/>
  <c r="O38" i="7"/>
  <c r="I286" i="10"/>
  <c r="J286" i="10" s="1"/>
  <c r="G39" i="7"/>
  <c r="F287" i="10" s="1"/>
  <c r="G287" i="10" s="1"/>
  <c r="G38" i="7"/>
  <c r="F286" i="10" s="1"/>
  <c r="G286" i="10" s="1"/>
  <c r="O37" i="7"/>
  <c r="I285" i="10"/>
  <c r="J285" i="10" s="1"/>
  <c r="O36" i="7"/>
  <c r="I284" i="10"/>
  <c r="J284" i="10" s="1"/>
  <c r="O35" i="7"/>
  <c r="I283" i="10" s="1"/>
  <c r="J283" i="10" s="1"/>
  <c r="O34" i="7"/>
  <c r="I282" i="10" s="1"/>
  <c r="J282" i="10" s="1"/>
  <c r="G35" i="7"/>
  <c r="F283" i="10"/>
  <c r="G283" i="10" s="1"/>
  <c r="G37" i="7"/>
  <c r="F285" i="10"/>
  <c r="G285" i="10" s="1"/>
  <c r="G36" i="7"/>
  <c r="F284" i="10" s="1"/>
  <c r="G284" i="10" s="1"/>
  <c r="G34" i="7"/>
  <c r="F282" i="10" s="1"/>
  <c r="G282" i="10" s="1"/>
  <c r="O25" i="7"/>
  <c r="Q25" i="7"/>
  <c r="I274" i="10" s="1"/>
  <c r="J274" i="10" s="1"/>
  <c r="O24" i="7"/>
  <c r="Q24" i="7" s="1"/>
  <c r="I273" i="10" s="1"/>
  <c r="J273" i="10" s="1"/>
  <c r="O23" i="7"/>
  <c r="Q23" i="7"/>
  <c r="I272" i="10" s="1"/>
  <c r="J272" i="10" s="1"/>
  <c r="O22" i="7"/>
  <c r="Q22" i="7" s="1"/>
  <c r="I271" i="10" s="1"/>
  <c r="J271" i="10" s="1"/>
  <c r="O21" i="7"/>
  <c r="Q21" i="7"/>
  <c r="I270" i="10" s="1"/>
  <c r="J270" i="10" s="1"/>
  <c r="O20" i="7"/>
  <c r="Q20" i="7" s="1"/>
  <c r="I269" i="10" s="1"/>
  <c r="J269" i="10" s="1"/>
  <c r="O13" i="7"/>
  <c r="Q13" i="7"/>
  <c r="F274" i="10" s="1"/>
  <c r="G274" i="10" s="1"/>
  <c r="O12" i="7"/>
  <c r="Q12" i="7" s="1"/>
  <c r="F273" i="10" s="1"/>
  <c r="G273" i="10" s="1"/>
  <c r="O11" i="7"/>
  <c r="Q11" i="7"/>
  <c r="F272" i="10" s="1"/>
  <c r="G272" i="10" s="1"/>
  <c r="O10" i="7"/>
  <c r="Q10" i="7" s="1"/>
  <c r="F271" i="10" s="1"/>
  <c r="G271" i="10" s="1"/>
  <c r="O9" i="7"/>
  <c r="Q9" i="7"/>
  <c r="F270" i="10" s="1"/>
  <c r="G270" i="10" s="1"/>
  <c r="O8" i="7"/>
  <c r="Q8" i="7" s="1"/>
  <c r="F269" i="10" s="1"/>
  <c r="G269" i="10" s="1"/>
  <c r="O65" i="14"/>
  <c r="Q65" i="14" s="1"/>
  <c r="L83" i="10" s="1"/>
  <c r="M83" i="10" s="1"/>
  <c r="O95" i="9"/>
  <c r="Q95" i="9" s="1"/>
  <c r="P229" i="10" s="1"/>
  <c r="Q229" i="10" s="1"/>
  <c r="O94" i="9"/>
  <c r="Q94" i="9"/>
  <c r="P228" i="10" s="1"/>
  <c r="Q228" i="10" s="1"/>
  <c r="O93" i="9"/>
  <c r="Q93" i="9" s="1"/>
  <c r="P227" i="10" s="1"/>
  <c r="Q227" i="10" s="1"/>
  <c r="O92" i="9"/>
  <c r="Q92" i="9"/>
  <c r="P226" i="10" s="1"/>
  <c r="Q226" i="10" s="1"/>
  <c r="O91" i="9"/>
  <c r="Q91" i="9" s="1"/>
  <c r="P225" i="10" s="1"/>
  <c r="Q225" i="10" s="1"/>
  <c r="O90" i="9"/>
  <c r="Q90" i="9"/>
  <c r="P224" i="10" s="1"/>
  <c r="Q224" i="10" s="1"/>
  <c r="O89" i="9"/>
  <c r="Q89" i="9" s="1"/>
  <c r="P223" i="10" s="1"/>
  <c r="Q223" i="10" s="1"/>
  <c r="O77" i="9"/>
  <c r="Q77" i="9"/>
  <c r="M229" i="10" s="1"/>
  <c r="N229" i="10" s="1"/>
  <c r="O76" i="9"/>
  <c r="Q76" i="9" s="1"/>
  <c r="M228" i="10" s="1"/>
  <c r="N228" i="10" s="1"/>
  <c r="O75" i="9"/>
  <c r="Q75" i="9"/>
  <c r="M227" i="10" s="1"/>
  <c r="N227" i="10" s="1"/>
  <c r="O74" i="9"/>
  <c r="Q74" i="9" s="1"/>
  <c r="M226" i="10" s="1"/>
  <c r="N226" i="10" s="1"/>
  <c r="O73" i="9"/>
  <c r="Q73" i="9"/>
  <c r="M225" i="10" s="1"/>
  <c r="N225" i="10" s="1"/>
  <c r="O72" i="9"/>
  <c r="M224" i="10" s="1"/>
  <c r="N224" i="10" s="1"/>
  <c r="O71" i="9"/>
  <c r="Q71" i="9"/>
  <c r="M223" i="10"/>
  <c r="N223" i="10" s="1"/>
  <c r="O64" i="9"/>
  <c r="Q64" i="9"/>
  <c r="J239" i="10"/>
  <c r="K239" i="10" s="1"/>
  <c r="O63" i="9"/>
  <c r="Q63" i="9"/>
  <c r="J238" i="10" s="1"/>
  <c r="K238" i="10" s="1"/>
  <c r="O62" i="9"/>
  <c r="Q62" i="9"/>
  <c r="J237" i="10" s="1"/>
  <c r="K237" i="10" s="1"/>
  <c r="O61" i="9"/>
  <c r="Q61" i="9"/>
  <c r="J236" i="10"/>
  <c r="K236" i="10" s="1"/>
  <c r="O60" i="9"/>
  <c r="Q60" i="9"/>
  <c r="J235" i="10"/>
  <c r="K235" i="10" s="1"/>
  <c r="O59" i="9"/>
  <c r="Q59" i="9"/>
  <c r="J234" i="10" s="1"/>
  <c r="K234" i="10" s="1"/>
  <c r="O58" i="9"/>
  <c r="Q58" i="9"/>
  <c r="J233" i="10" s="1"/>
  <c r="K233" i="10" s="1"/>
  <c r="O57" i="9"/>
  <c r="Q57" i="9"/>
  <c r="J232" i="10"/>
  <c r="K232" i="10" s="1"/>
  <c r="O56" i="9"/>
  <c r="Q56" i="9"/>
  <c r="J231" i="10"/>
  <c r="K231" i="10" s="1"/>
  <c r="O55" i="9"/>
  <c r="Q55" i="9"/>
  <c r="J230" i="10" s="1"/>
  <c r="K230" i="10" s="1"/>
  <c r="O54" i="9"/>
  <c r="Q54" i="9"/>
  <c r="J229" i="10" s="1"/>
  <c r="K229" i="10" s="1"/>
  <c r="O53" i="9"/>
  <c r="Q53" i="9"/>
  <c r="J228" i="10"/>
  <c r="K228" i="10" s="1"/>
  <c r="O52" i="9"/>
  <c r="Q52" i="9"/>
  <c r="J227" i="10"/>
  <c r="K227" i="10" s="1"/>
  <c r="O51" i="9"/>
  <c r="Q51" i="9"/>
  <c r="J226" i="10" s="1"/>
  <c r="K226" i="10" s="1"/>
  <c r="O50" i="9"/>
  <c r="Q50" i="9"/>
  <c r="J225" i="10" s="1"/>
  <c r="K225" i="10" s="1"/>
  <c r="O49" i="9"/>
  <c r="Q49" i="9"/>
  <c r="J224" i="10"/>
  <c r="K224" i="10" s="1"/>
  <c r="O48" i="9"/>
  <c r="Q48" i="9"/>
  <c r="J223" i="10"/>
  <c r="K223" i="10" s="1"/>
  <c r="O37" i="9"/>
  <c r="Q37" i="9"/>
  <c r="G231" i="10" s="1"/>
  <c r="H231" i="10" s="1"/>
  <c r="O36" i="9"/>
  <c r="Q36" i="9"/>
  <c r="G230" i="10" s="1"/>
  <c r="H230" i="10" s="1"/>
  <c r="O35" i="9"/>
  <c r="Q35" i="9"/>
  <c r="G229" i="10"/>
  <c r="H229" i="10" s="1"/>
  <c r="O34" i="9"/>
  <c r="Q34" i="9"/>
  <c r="G228" i="10"/>
  <c r="H228" i="10" s="1"/>
  <c r="O33" i="9"/>
  <c r="Q33" i="9"/>
  <c r="G227" i="10" s="1"/>
  <c r="H227" i="10" s="1"/>
  <c r="O32" i="9"/>
  <c r="Q32" i="9"/>
  <c r="G226" i="10" s="1"/>
  <c r="H226" i="10" s="1"/>
  <c r="O31" i="9"/>
  <c r="Q31" i="9"/>
  <c r="G225" i="10"/>
  <c r="H225" i="10" s="1"/>
  <c r="O30" i="9"/>
  <c r="Q30" i="9"/>
  <c r="G224" i="10"/>
  <c r="H224" i="10" s="1"/>
  <c r="O29" i="9"/>
  <c r="Q29" i="9"/>
  <c r="G223" i="10" s="1"/>
  <c r="H223" i="10" s="1"/>
  <c r="O22" i="9"/>
  <c r="Q22" i="9"/>
  <c r="D239" i="10" s="1"/>
  <c r="E239" i="10" s="1"/>
  <c r="O21" i="9"/>
  <c r="Q21" i="9"/>
  <c r="D238" i="10"/>
  <c r="E238" i="10" s="1"/>
  <c r="O20" i="9"/>
  <c r="Q20" i="9"/>
  <c r="D237" i="10"/>
  <c r="E237" i="10" s="1"/>
  <c r="O19" i="9"/>
  <c r="Q19" i="9"/>
  <c r="D236" i="10" s="1"/>
  <c r="E236" i="10" s="1"/>
  <c r="O18" i="9"/>
  <c r="Q18" i="9"/>
  <c r="D235" i="10" s="1"/>
  <c r="E235" i="10" s="1"/>
  <c r="O17" i="9"/>
  <c r="Q17" i="9"/>
  <c r="D234" i="10"/>
  <c r="E234" i="10" s="1"/>
  <c r="O16" i="9"/>
  <c r="Q16" i="9"/>
  <c r="D233" i="10"/>
  <c r="E233" i="10" s="1"/>
  <c r="O15" i="9"/>
  <c r="Q15" i="9"/>
  <c r="D232" i="10" s="1"/>
  <c r="E232" i="10" s="1"/>
  <c r="O14" i="9"/>
  <c r="Q14" i="9"/>
  <c r="D231" i="10" s="1"/>
  <c r="E231" i="10" s="1"/>
  <c r="O13" i="9"/>
  <c r="Q13" i="9"/>
  <c r="D230" i="10"/>
  <c r="E230" i="10" s="1"/>
  <c r="O12" i="9"/>
  <c r="Q12" i="9"/>
  <c r="D229" i="10"/>
  <c r="E229" i="10" s="1"/>
  <c r="O11" i="9"/>
  <c r="Q11" i="9"/>
  <c r="D228" i="10" s="1"/>
  <c r="E228" i="10" s="1"/>
  <c r="O10" i="9"/>
  <c r="Q10" i="9"/>
  <c r="D227" i="10" s="1"/>
  <c r="E227" i="10" s="1"/>
  <c r="O9" i="9"/>
  <c r="Q9" i="9"/>
  <c r="D226" i="10"/>
  <c r="E226" i="10" s="1"/>
  <c r="O8" i="9"/>
  <c r="Q8" i="9"/>
  <c r="D225" i="10"/>
  <c r="E225" i="10" s="1"/>
  <c r="O7" i="9"/>
  <c r="Q7" i="9"/>
  <c r="D224" i="10" s="1"/>
  <c r="E224" i="10" s="1"/>
  <c r="O6" i="9"/>
  <c r="Q6" i="9"/>
  <c r="D223" i="10" s="1"/>
  <c r="E223" i="10" s="1"/>
  <c r="O111" i="12"/>
  <c r="Q111" i="12"/>
  <c r="N168" i="10"/>
  <c r="O168" i="10" s="1"/>
  <c r="O110" i="12"/>
  <c r="Q110" i="12"/>
  <c r="N167" i="10"/>
  <c r="O167" i="10" s="1"/>
  <c r="O109" i="12"/>
  <c r="Q109" i="12"/>
  <c r="N166" i="10" s="1"/>
  <c r="O166" i="10" s="1"/>
  <c r="O108" i="12"/>
  <c r="Q108" i="12"/>
  <c r="N165" i="10" s="1"/>
  <c r="O165" i="10" s="1"/>
  <c r="O107" i="12"/>
  <c r="Q107" i="12"/>
  <c r="N164" i="10"/>
  <c r="O164" i="10" s="1"/>
  <c r="O106" i="12"/>
  <c r="Q106" i="12"/>
  <c r="N163" i="10"/>
  <c r="O163" i="10" s="1"/>
  <c r="O105" i="12"/>
  <c r="Q105" i="12"/>
  <c r="N162" i="10" s="1"/>
  <c r="O162" i="10" s="1"/>
  <c r="O104" i="12"/>
  <c r="Q104" i="12"/>
  <c r="N161" i="10" s="1"/>
  <c r="O161" i="10" s="1"/>
  <c r="O103" i="12"/>
  <c r="Q103" i="12"/>
  <c r="N160" i="10"/>
  <c r="O160" i="10" s="1"/>
  <c r="O102" i="12"/>
  <c r="Q102" i="12"/>
  <c r="N159" i="10"/>
  <c r="O159" i="10" s="1"/>
  <c r="O101" i="12"/>
  <c r="Q101" i="12"/>
  <c r="N158" i="10" s="1"/>
  <c r="O158" i="10" s="1"/>
  <c r="O100" i="12"/>
  <c r="Q100" i="12"/>
  <c r="N157" i="10" s="1"/>
  <c r="O157" i="10" s="1"/>
  <c r="O99" i="12"/>
  <c r="Q99" i="12"/>
  <c r="N156" i="10"/>
  <c r="O156" i="10" s="1"/>
  <c r="O98" i="12"/>
  <c r="Q98" i="12"/>
  <c r="N155" i="10"/>
  <c r="O155" i="10" s="1"/>
  <c r="O97" i="12"/>
  <c r="Q97" i="12"/>
  <c r="N154" i="10" s="1"/>
  <c r="O154" i="10" s="1"/>
  <c r="O96" i="12"/>
  <c r="Q96" i="12"/>
  <c r="N153" i="10" s="1"/>
  <c r="O153" i="10" s="1"/>
  <c r="O95" i="12"/>
  <c r="Q95" i="12"/>
  <c r="N152" i="10"/>
  <c r="O152" i="10" s="1"/>
  <c r="O94" i="12"/>
  <c r="Q94" i="12"/>
  <c r="N151" i="10"/>
  <c r="O151" i="10" s="1"/>
  <c r="O93" i="12"/>
  <c r="Q93" i="12"/>
  <c r="N150" i="10" s="1"/>
  <c r="O150" i="10" s="1"/>
  <c r="O92" i="12"/>
  <c r="Q92" i="12"/>
  <c r="N149" i="10" s="1"/>
  <c r="O149" i="10" s="1"/>
  <c r="O91" i="12"/>
  <c r="Q91" i="12"/>
  <c r="N148" i="10"/>
  <c r="O148" i="10" s="1"/>
  <c r="O90" i="12"/>
  <c r="Q90" i="12"/>
  <c r="N147" i="10"/>
  <c r="O147" i="10" s="1"/>
  <c r="O89" i="12"/>
  <c r="Q89" i="12"/>
  <c r="N146" i="10" s="1"/>
  <c r="O146" i="10" s="1"/>
  <c r="O83" i="12"/>
  <c r="Q83" i="12"/>
  <c r="K168" i="10" s="1"/>
  <c r="L168" i="10" s="1"/>
  <c r="O82" i="12"/>
  <c r="Q82" i="12"/>
  <c r="K167" i="10"/>
  <c r="L167" i="10" s="1"/>
  <c r="O81" i="12"/>
  <c r="Q81" i="12" s="1"/>
  <c r="K166" i="10" s="1"/>
  <c r="L166" i="10" s="1"/>
  <c r="O80" i="12"/>
  <c r="Q80" i="12" s="1"/>
  <c r="K165" i="10" s="1"/>
  <c r="L165" i="10" s="1"/>
  <c r="O79" i="12"/>
  <c r="Q79" i="12"/>
  <c r="K164" i="10" s="1"/>
  <c r="L164" i="10" s="1"/>
  <c r="O78" i="12"/>
  <c r="Q78" i="12"/>
  <c r="K163" i="10"/>
  <c r="L163" i="10" s="1"/>
  <c r="O77" i="12"/>
  <c r="Q77" i="12" s="1"/>
  <c r="K162" i="10" s="1"/>
  <c r="L162" i="10" s="1"/>
  <c r="O76" i="12"/>
  <c r="Q76" i="12" s="1"/>
  <c r="K161" i="10" s="1"/>
  <c r="L161" i="10" s="1"/>
  <c r="O75" i="12"/>
  <c r="Q75" i="12"/>
  <c r="K160" i="10" s="1"/>
  <c r="L160" i="10" s="1"/>
  <c r="O74" i="12"/>
  <c r="Q74" i="12"/>
  <c r="K159" i="10"/>
  <c r="L159" i="10" s="1"/>
  <c r="O73" i="12"/>
  <c r="Q73" i="12" s="1"/>
  <c r="K158" i="10" s="1"/>
  <c r="L158" i="10" s="1"/>
  <c r="O72" i="12"/>
  <c r="Q72" i="12" s="1"/>
  <c r="K157" i="10" s="1"/>
  <c r="L157" i="10" s="1"/>
  <c r="O71" i="12"/>
  <c r="Q71" i="12"/>
  <c r="K156" i="10" s="1"/>
  <c r="L156" i="10" s="1"/>
  <c r="O70" i="12"/>
  <c r="Q70" i="12"/>
  <c r="K155" i="10"/>
  <c r="L155" i="10" s="1"/>
  <c r="O69" i="12"/>
  <c r="Q69" i="12" s="1"/>
  <c r="K154" i="10" s="1"/>
  <c r="L154" i="10" s="1"/>
  <c r="O68" i="12"/>
  <c r="Q68" i="12" s="1"/>
  <c r="K153" i="10" s="1"/>
  <c r="L153" i="10" s="1"/>
  <c r="O67" i="12"/>
  <c r="Q67" i="12"/>
  <c r="K152" i="10" s="1"/>
  <c r="L152" i="10" s="1"/>
  <c r="O66" i="12"/>
  <c r="Q66" i="12"/>
  <c r="K151" i="10"/>
  <c r="L151" i="10" s="1"/>
  <c r="O65" i="12"/>
  <c r="Q65" i="12"/>
  <c r="K150" i="10"/>
  <c r="L150" i="10" s="1"/>
  <c r="O64" i="12"/>
  <c r="Q64" i="12"/>
  <c r="K149" i="10"/>
  <c r="L149" i="10" s="1"/>
  <c r="O63" i="12"/>
  <c r="Q63" i="12"/>
  <c r="K148" i="10"/>
  <c r="L148" i="10" s="1"/>
  <c r="O62" i="12"/>
  <c r="Q62" i="12"/>
  <c r="K147" i="10"/>
  <c r="L147" i="10" s="1"/>
  <c r="O61" i="12"/>
  <c r="Q61" i="12"/>
  <c r="K146" i="10"/>
  <c r="L146" i="10" s="1"/>
  <c r="O55" i="12"/>
  <c r="Q55" i="12"/>
  <c r="H168" i="10"/>
  <c r="I168" i="10" s="1"/>
  <c r="O54" i="12"/>
  <c r="Q54" i="12"/>
  <c r="H167" i="10"/>
  <c r="I167" i="10" s="1"/>
  <c r="O53" i="12"/>
  <c r="Q53" i="12"/>
  <c r="H166" i="10"/>
  <c r="I166" i="10" s="1"/>
  <c r="O52" i="12"/>
  <c r="Q52" i="12"/>
  <c r="H165" i="10"/>
  <c r="I165" i="10" s="1"/>
  <c r="O51" i="12"/>
  <c r="Q51" i="12"/>
  <c r="H164" i="10"/>
  <c r="I164" i="10" s="1"/>
  <c r="O50" i="12"/>
  <c r="Q50" i="12"/>
  <c r="H163" i="10"/>
  <c r="I163" i="10" s="1"/>
  <c r="O49" i="12"/>
  <c r="Q49" i="12"/>
  <c r="H162" i="10"/>
  <c r="I162" i="10" s="1"/>
  <c r="O48" i="12"/>
  <c r="Q48" i="12"/>
  <c r="H161" i="10"/>
  <c r="I161" i="10" s="1"/>
  <c r="O47" i="12"/>
  <c r="Q47" i="12"/>
  <c r="H160" i="10"/>
  <c r="I160" i="10" s="1"/>
  <c r="O46" i="12"/>
  <c r="Q46" i="12"/>
  <c r="H159" i="10"/>
  <c r="I159" i="10" s="1"/>
  <c r="O45" i="12"/>
  <c r="Q45" i="12"/>
  <c r="H158" i="10"/>
  <c r="I158" i="10" s="1"/>
  <c r="O44" i="12"/>
  <c r="Q44" i="12"/>
  <c r="H157" i="10"/>
  <c r="I157" i="10" s="1"/>
  <c r="O43" i="12"/>
  <c r="Q43" i="12"/>
  <c r="H156" i="10"/>
  <c r="I156" i="10" s="1"/>
  <c r="O42" i="12"/>
  <c r="Q42" i="12"/>
  <c r="H155" i="10"/>
  <c r="I155" i="10" s="1"/>
  <c r="O41" i="12"/>
  <c r="Q41" i="12"/>
  <c r="H154" i="10"/>
  <c r="I154" i="10" s="1"/>
  <c r="O40" i="12"/>
  <c r="Q40" i="12"/>
  <c r="H153" i="10"/>
  <c r="I153" i="10" s="1"/>
  <c r="O39" i="12"/>
  <c r="Q39" i="12"/>
  <c r="H152" i="10"/>
  <c r="I152" i="10" s="1"/>
  <c r="O38" i="12"/>
  <c r="Q38" i="12"/>
  <c r="H151" i="10"/>
  <c r="I151" i="10" s="1"/>
  <c r="O37" i="12"/>
  <c r="Q37" i="12"/>
  <c r="H150" i="10"/>
  <c r="I150" i="10" s="1"/>
  <c r="O36" i="12"/>
  <c r="Q36" i="12"/>
  <c r="H149" i="10"/>
  <c r="I149" i="10" s="1"/>
  <c r="O35" i="12"/>
  <c r="Q35" i="12"/>
  <c r="H148" i="10"/>
  <c r="I148" i="10" s="1"/>
  <c r="O34" i="12"/>
  <c r="Q34" i="12"/>
  <c r="H147" i="10"/>
  <c r="I147" i="10" s="1"/>
  <c r="O33" i="12"/>
  <c r="Q33" i="12"/>
  <c r="H146" i="10"/>
  <c r="I146" i="10" s="1"/>
  <c r="O27" i="12"/>
  <c r="Q27" i="12"/>
  <c r="E168" i="10"/>
  <c r="F168" i="10" s="1"/>
  <c r="O26" i="12"/>
  <c r="Q26" i="12"/>
  <c r="E167" i="10"/>
  <c r="F167" i="10" s="1"/>
  <c r="O25" i="12"/>
  <c r="Q25" i="12"/>
  <c r="E166" i="10"/>
  <c r="F166" i="10" s="1"/>
  <c r="O24" i="12"/>
  <c r="Q24" i="12"/>
  <c r="E165" i="10"/>
  <c r="F165" i="10" s="1"/>
  <c r="O23" i="12"/>
  <c r="Q23" i="12"/>
  <c r="E164" i="10"/>
  <c r="F164" i="10" s="1"/>
  <c r="O22" i="12"/>
  <c r="Q22" i="12"/>
  <c r="E163" i="10"/>
  <c r="F163" i="10" s="1"/>
  <c r="O21" i="12"/>
  <c r="Q21" i="12"/>
  <c r="E162" i="10"/>
  <c r="F162" i="10" s="1"/>
  <c r="O20" i="12"/>
  <c r="Q20" i="12"/>
  <c r="E161" i="10"/>
  <c r="F161" i="10" s="1"/>
  <c r="O19" i="12"/>
  <c r="Q19" i="12"/>
  <c r="E160" i="10"/>
  <c r="F160" i="10" s="1"/>
  <c r="O18" i="12"/>
  <c r="Q18" i="12"/>
  <c r="E159" i="10"/>
  <c r="F159" i="10" s="1"/>
  <c r="O17" i="12"/>
  <c r="Q17" i="12"/>
  <c r="E158" i="10"/>
  <c r="F158" i="10" s="1"/>
  <c r="O16" i="12"/>
  <c r="Q16" i="12"/>
  <c r="E157" i="10"/>
  <c r="F157" i="10" s="1"/>
  <c r="O15" i="12"/>
  <c r="Q15" i="12"/>
  <c r="E156" i="10"/>
  <c r="F156" i="10" s="1"/>
  <c r="O14" i="12"/>
  <c r="Q14" i="12"/>
  <c r="E155" i="10"/>
  <c r="F155" i="10" s="1"/>
  <c r="O13" i="12"/>
  <c r="Q13" i="12"/>
  <c r="E154" i="10"/>
  <c r="F154" i="10" s="1"/>
  <c r="O12" i="12"/>
  <c r="Q12" i="12"/>
  <c r="E153" i="10"/>
  <c r="F153" i="10" s="1"/>
  <c r="O11" i="12"/>
  <c r="Q11" i="12"/>
  <c r="E152" i="10"/>
  <c r="F152" i="10" s="1"/>
  <c r="O10" i="12"/>
  <c r="Q10" i="12"/>
  <c r="E151" i="10"/>
  <c r="F151" i="10" s="1"/>
  <c r="O9" i="12"/>
  <c r="Q9" i="12"/>
  <c r="E150" i="10"/>
  <c r="F150" i="10" s="1"/>
  <c r="O8" i="12"/>
  <c r="Q8" i="12"/>
  <c r="E149" i="10"/>
  <c r="F149" i="10" s="1"/>
  <c r="O7" i="12"/>
  <c r="Q7" i="12"/>
  <c r="E148" i="10"/>
  <c r="F148" i="10" s="1"/>
  <c r="O6" i="12"/>
  <c r="Q6" i="12"/>
  <c r="E147" i="10"/>
  <c r="F147" i="10" s="1"/>
  <c r="O5" i="12"/>
  <c r="Q5" i="12"/>
  <c r="E146" i="10"/>
  <c r="F146" i="10" s="1"/>
  <c r="O190" i="14"/>
  <c r="Q190" i="14" s="1"/>
  <c r="N127" i="10" s="1"/>
  <c r="O189" i="14"/>
  <c r="Q189" i="14" s="1"/>
  <c r="O188" i="14"/>
  <c r="Q188" i="14" s="1"/>
  <c r="M124" i="10" s="1"/>
  <c r="N124" i="10" s="1"/>
  <c r="O187" i="14"/>
  <c r="Q187" i="14" s="1"/>
  <c r="M123" i="10" s="1"/>
  <c r="N123" i="10" s="1"/>
  <c r="O186" i="14"/>
  <c r="Q186" i="14" s="1"/>
  <c r="M122" i="10" s="1"/>
  <c r="N122" i="10" s="1"/>
  <c r="O185" i="14"/>
  <c r="Q185" i="14" s="1"/>
  <c r="M121" i="10" s="1"/>
  <c r="N121" i="10" s="1"/>
  <c r="O184" i="14"/>
  <c r="Q184" i="14" s="1"/>
  <c r="M120" i="10" s="1"/>
  <c r="N120" i="10" s="1"/>
  <c r="O183" i="14"/>
  <c r="Q183" i="14" s="1"/>
  <c r="M119" i="10" s="1"/>
  <c r="N119" i="10" s="1"/>
  <c r="O182" i="14"/>
  <c r="Q182" i="14" s="1"/>
  <c r="M118" i="10" s="1"/>
  <c r="N118" i="10" s="1"/>
  <c r="O177" i="14"/>
  <c r="Q177" i="14" s="1"/>
  <c r="F133" i="10" s="1"/>
  <c r="G133" i="10" s="1"/>
  <c r="O176" i="14"/>
  <c r="Q176" i="14" s="1"/>
  <c r="F132" i="10" s="1"/>
  <c r="G132" i="10" s="1"/>
  <c r="O175" i="14"/>
  <c r="Q175" i="14" s="1"/>
  <c r="F131" i="10" s="1"/>
  <c r="G131" i="10" s="1"/>
  <c r="O174" i="14"/>
  <c r="Q174" i="14" s="1"/>
  <c r="F130" i="10" s="1"/>
  <c r="G130" i="10" s="1"/>
  <c r="O137" i="14"/>
  <c r="Q137" i="14" s="1"/>
  <c r="O99" i="10" s="1"/>
  <c r="P99" i="10" s="1"/>
  <c r="O136" i="14"/>
  <c r="Q136" i="14" s="1"/>
  <c r="O98" i="10" s="1"/>
  <c r="P98" i="10" s="1"/>
  <c r="O135" i="14"/>
  <c r="Q135" i="14" s="1"/>
  <c r="O97" i="10" s="1"/>
  <c r="P97" i="10" s="1"/>
  <c r="O134" i="14"/>
  <c r="Q134" i="14" s="1"/>
  <c r="O96" i="10" s="1"/>
  <c r="P96" i="10" s="1"/>
  <c r="O133" i="14"/>
  <c r="Q133" i="14" s="1"/>
  <c r="O95" i="10" s="1"/>
  <c r="P95" i="10" s="1"/>
  <c r="O132" i="14"/>
  <c r="Q132" i="14" s="1"/>
  <c r="O94" i="10" s="1"/>
  <c r="P94" i="10" s="1"/>
  <c r="O131" i="14"/>
  <c r="Q131" i="14" s="1"/>
  <c r="O93" i="10" s="1"/>
  <c r="P93" i="10" s="1"/>
  <c r="O130" i="14"/>
  <c r="Q130" i="14"/>
  <c r="O92" i="10" s="1"/>
  <c r="P92" i="10" s="1"/>
  <c r="O129" i="14"/>
  <c r="Q129" i="14" s="1"/>
  <c r="O91" i="10" s="1"/>
  <c r="P91" i="10" s="1"/>
  <c r="O128" i="14"/>
  <c r="Q128" i="14" s="1"/>
  <c r="O90" i="10" s="1"/>
  <c r="P90" i="10" s="1"/>
  <c r="O122" i="14"/>
  <c r="Q122" i="14" s="1"/>
  <c r="L99" i="10" s="1"/>
  <c r="M99" i="10" s="1"/>
  <c r="O121" i="14"/>
  <c r="Q121" i="14" s="1"/>
  <c r="L98" i="10" s="1"/>
  <c r="M98" i="10" s="1"/>
  <c r="O120" i="14"/>
  <c r="Q120" i="14" s="1"/>
  <c r="L97" i="10" s="1"/>
  <c r="M97" i="10" s="1"/>
  <c r="O119" i="14"/>
  <c r="Q119" i="14" s="1"/>
  <c r="L96" i="10" s="1"/>
  <c r="M96" i="10" s="1"/>
  <c r="O118" i="14"/>
  <c r="Q118" i="14" s="1"/>
  <c r="L95" i="10" s="1"/>
  <c r="M95" i="10" s="1"/>
  <c r="O117" i="14"/>
  <c r="Q117" i="14" s="1"/>
  <c r="L94" i="10" s="1"/>
  <c r="M94" i="10" s="1"/>
  <c r="O116" i="14"/>
  <c r="Q116" i="14" s="1"/>
  <c r="L93" i="10" s="1"/>
  <c r="M93" i="10" s="1"/>
  <c r="O115" i="14"/>
  <c r="Q115" i="14"/>
  <c r="L92" i="10" s="1"/>
  <c r="M92" i="10" s="1"/>
  <c r="O114" i="14"/>
  <c r="Q114" i="14" s="1"/>
  <c r="L91" i="10" s="1"/>
  <c r="M91" i="10" s="1"/>
  <c r="O113" i="14"/>
  <c r="Q113" i="14" s="1"/>
  <c r="L90" i="10" s="1"/>
  <c r="M90" i="10" s="1"/>
  <c r="O108" i="14"/>
  <c r="Q108" i="14" s="1"/>
  <c r="I99" i="10" s="1"/>
  <c r="J99" i="10" s="1"/>
  <c r="O107" i="14"/>
  <c r="Q107" i="14" s="1"/>
  <c r="I98" i="10" s="1"/>
  <c r="J98" i="10" s="1"/>
  <c r="O106" i="14"/>
  <c r="Q106" i="14"/>
  <c r="I97" i="10" s="1"/>
  <c r="J97" i="10" s="1"/>
  <c r="O105" i="14"/>
  <c r="Q105" i="14"/>
  <c r="I96" i="10" s="1"/>
  <c r="J96" i="10" s="1"/>
  <c r="O104" i="14"/>
  <c r="Q104" i="14" s="1"/>
  <c r="I95" i="10" s="1"/>
  <c r="J95" i="10" s="1"/>
  <c r="O103" i="14"/>
  <c r="Q103" i="14" s="1"/>
  <c r="I94" i="10" s="1"/>
  <c r="J94" i="10" s="1"/>
  <c r="O102" i="14"/>
  <c r="Q102" i="14" s="1"/>
  <c r="I93" i="10" s="1"/>
  <c r="J93" i="10" s="1"/>
  <c r="O101" i="14"/>
  <c r="Q101" i="14" s="1"/>
  <c r="I92" i="10" s="1"/>
  <c r="J92" i="10" s="1"/>
  <c r="O100" i="14"/>
  <c r="Q100" i="14" s="1"/>
  <c r="I91" i="10" s="1"/>
  <c r="J91" i="10" s="1"/>
  <c r="O99" i="14"/>
  <c r="Q99" i="14" s="1"/>
  <c r="I90" i="10" s="1"/>
  <c r="J90" i="10" s="1"/>
  <c r="O94" i="14"/>
  <c r="Q94" i="14" s="1"/>
  <c r="R84" i="10" s="1"/>
  <c r="S84" i="10" s="1"/>
  <c r="O93" i="14"/>
  <c r="Q93" i="14"/>
  <c r="R83" i="10" s="1"/>
  <c r="S83" i="10" s="1"/>
  <c r="O92" i="14"/>
  <c r="Q92" i="14" s="1"/>
  <c r="R82" i="10" s="1"/>
  <c r="S82" i="10" s="1"/>
  <c r="O91" i="14"/>
  <c r="Q91" i="14"/>
  <c r="R81" i="10" s="1"/>
  <c r="S81" i="10" s="1"/>
  <c r="O90" i="14"/>
  <c r="Q90" i="14" s="1"/>
  <c r="R80" i="10" s="1"/>
  <c r="S80" i="10" s="1"/>
  <c r="O89" i="14"/>
  <c r="Q89" i="14" s="1"/>
  <c r="R79" i="10" s="1"/>
  <c r="S79" i="10" s="1"/>
  <c r="O88" i="14"/>
  <c r="Q88" i="14" s="1"/>
  <c r="R78" i="10" s="1"/>
  <c r="S78" i="10" s="1"/>
  <c r="O87" i="14"/>
  <c r="Q87" i="14" s="1"/>
  <c r="R77" i="10" s="1"/>
  <c r="S77" i="10" s="1"/>
  <c r="O86" i="14"/>
  <c r="Q86" i="14" s="1"/>
  <c r="R76" i="10" s="1"/>
  <c r="S76" i="10" s="1"/>
  <c r="O85" i="14"/>
  <c r="Q85" i="14" s="1"/>
  <c r="R75" i="10" s="1"/>
  <c r="S75" i="10" s="1"/>
  <c r="O80" i="14"/>
  <c r="Q80" i="14" s="1"/>
  <c r="O84" i="10" s="1"/>
  <c r="P84" i="10" s="1"/>
  <c r="O79" i="14"/>
  <c r="Q79" i="14" s="1"/>
  <c r="O83" i="10" s="1"/>
  <c r="P83" i="10" s="1"/>
  <c r="O78" i="14"/>
  <c r="Q78" i="14" s="1"/>
  <c r="O82" i="10" s="1"/>
  <c r="P82" i="10" s="1"/>
  <c r="O77" i="14"/>
  <c r="Q77" i="14" s="1"/>
  <c r="O81" i="10" s="1"/>
  <c r="P81" i="10" s="1"/>
  <c r="O76" i="14"/>
  <c r="Q76" i="14" s="1"/>
  <c r="O80" i="10" s="1"/>
  <c r="P80" i="10" s="1"/>
  <c r="O75" i="14"/>
  <c r="Q75" i="14" s="1"/>
  <c r="O79" i="10" s="1"/>
  <c r="P79" i="10" s="1"/>
  <c r="O74" i="14"/>
  <c r="Q74" i="14" s="1"/>
  <c r="O78" i="10" s="1"/>
  <c r="P78" i="10" s="1"/>
  <c r="O73" i="14"/>
  <c r="Q73" i="14"/>
  <c r="O77" i="10" s="1"/>
  <c r="P77" i="10" s="1"/>
  <c r="O72" i="14"/>
  <c r="Q72" i="14"/>
  <c r="O76" i="10" s="1"/>
  <c r="P76" i="10" s="1"/>
  <c r="O71" i="14"/>
  <c r="Q71" i="14" s="1"/>
  <c r="O75" i="10" s="1"/>
  <c r="P75" i="10" s="1"/>
  <c r="O66" i="14"/>
  <c r="Q66" i="14" s="1"/>
  <c r="L84" i="10" s="1"/>
  <c r="M84" i="10" s="1"/>
  <c r="O64" i="14"/>
  <c r="Q64" i="14" s="1"/>
  <c r="L82" i="10" s="1"/>
  <c r="M82" i="10" s="1"/>
  <c r="O63" i="14"/>
  <c r="Q63" i="14" s="1"/>
  <c r="L81" i="10" s="1"/>
  <c r="M81" i="10" s="1"/>
  <c r="O62" i="14"/>
  <c r="Q62" i="14" s="1"/>
  <c r="L80" i="10" s="1"/>
  <c r="M80" i="10" s="1"/>
  <c r="O61" i="14"/>
  <c r="Q61" i="14" s="1"/>
  <c r="L79" i="10" s="1"/>
  <c r="M79" i="10" s="1"/>
  <c r="O60" i="14"/>
  <c r="Q60" i="14" s="1"/>
  <c r="L78" i="10" s="1"/>
  <c r="M78" i="10" s="1"/>
  <c r="O59" i="14"/>
  <c r="Q59" i="14"/>
  <c r="L77" i="10" s="1"/>
  <c r="M77" i="10" s="1"/>
  <c r="O58" i="14"/>
  <c r="Q58" i="14" s="1"/>
  <c r="L76" i="10" s="1"/>
  <c r="M76" i="10" s="1"/>
  <c r="O57" i="14"/>
  <c r="Q57" i="14" s="1"/>
  <c r="L75" i="10" s="1"/>
  <c r="M75" i="10" s="1"/>
  <c r="O52" i="14"/>
  <c r="Q52" i="14" s="1"/>
  <c r="I84" i="10" s="1"/>
  <c r="J84" i="10" s="1"/>
  <c r="O51" i="14"/>
  <c r="Q51" i="14" s="1"/>
  <c r="I83" i="10" s="1"/>
  <c r="J83" i="10" s="1"/>
  <c r="O50" i="14"/>
  <c r="Q50" i="14" s="1"/>
  <c r="I82" i="10" s="1"/>
  <c r="J82" i="10" s="1"/>
  <c r="O49" i="14"/>
  <c r="Q49" i="14" s="1"/>
  <c r="I81" i="10" s="1"/>
  <c r="J81" i="10" s="1"/>
  <c r="O48" i="14"/>
  <c r="Q48" i="14"/>
  <c r="I80" i="10" s="1"/>
  <c r="J80" i="10" s="1"/>
  <c r="O47" i="14"/>
  <c r="Q47" i="14" s="1"/>
  <c r="I79" i="10" s="1"/>
  <c r="J79" i="10" s="1"/>
  <c r="O46" i="14"/>
  <c r="Q46" i="14" s="1"/>
  <c r="I78" i="10" s="1"/>
  <c r="J78" i="10" s="1"/>
  <c r="O45" i="14"/>
  <c r="Q45" i="14" s="1"/>
  <c r="I77" i="10" s="1"/>
  <c r="J77" i="10" s="1"/>
  <c r="O44" i="14"/>
  <c r="Q44" i="14" s="1"/>
  <c r="I76" i="10" s="1"/>
  <c r="J76" i="10" s="1"/>
  <c r="O43" i="14"/>
  <c r="Q43" i="14" s="1"/>
  <c r="I75" i="10" s="1"/>
  <c r="J75" i="10" s="1"/>
  <c r="O35" i="14"/>
  <c r="Q35" i="14" s="1"/>
  <c r="F84" i="10" s="1"/>
  <c r="G84" i="10" s="1"/>
  <c r="O34" i="14"/>
  <c r="Q34" i="14" s="1"/>
  <c r="F83" i="10" s="1"/>
  <c r="G83" i="10" s="1"/>
  <c r="O33" i="14"/>
  <c r="Q33" i="14" s="1"/>
  <c r="F82" i="10" s="1"/>
  <c r="G82" i="10" s="1"/>
  <c r="O32" i="14"/>
  <c r="Q32" i="14" s="1"/>
  <c r="F81" i="10" s="1"/>
  <c r="G81" i="10" s="1"/>
  <c r="O31" i="14"/>
  <c r="Q31" i="14" s="1"/>
  <c r="F80" i="10" s="1"/>
  <c r="G80" i="10" s="1"/>
  <c r="O30" i="14"/>
  <c r="Q30" i="14" s="1"/>
  <c r="F79" i="10" s="1"/>
  <c r="G79" i="10" s="1"/>
  <c r="O29" i="14"/>
  <c r="Q29" i="14" s="1"/>
  <c r="F78" i="10" s="1"/>
  <c r="G78" i="10" s="1"/>
  <c r="O28" i="14"/>
  <c r="Q28" i="14" s="1"/>
  <c r="F77" i="10" s="1"/>
  <c r="G77" i="10" s="1"/>
  <c r="O27" i="14"/>
  <c r="Q27" i="14" s="1"/>
  <c r="F76" i="10" s="1"/>
  <c r="G76" i="10" s="1"/>
  <c r="O26" i="14"/>
  <c r="Q26" i="14" s="1"/>
  <c r="F75" i="10" s="1"/>
  <c r="G75" i="10" s="1"/>
  <c r="O18" i="14"/>
  <c r="Q18" i="14" s="1"/>
  <c r="C84" i="10" s="1"/>
  <c r="D84" i="10" s="1"/>
  <c r="O17" i="14"/>
  <c r="Q17" i="14" s="1"/>
  <c r="C83" i="10" s="1"/>
  <c r="D83" i="10" s="1"/>
  <c r="O16" i="14"/>
  <c r="Q16" i="14" s="1"/>
  <c r="C82" i="10" s="1"/>
  <c r="D82" i="10" s="1"/>
  <c r="O15" i="14"/>
  <c r="Q15" i="14" s="1"/>
  <c r="C81" i="10" s="1"/>
  <c r="D81" i="10" s="1"/>
  <c r="O14" i="14"/>
  <c r="Q14" i="14" s="1"/>
  <c r="C80" i="10" s="1"/>
  <c r="D80" i="10" s="1"/>
  <c r="O13" i="14"/>
  <c r="Q13" i="14" s="1"/>
  <c r="C79" i="10" s="1"/>
  <c r="D79" i="10" s="1"/>
  <c r="O12" i="14"/>
  <c r="Q12" i="14" s="1"/>
  <c r="C78" i="10" s="1"/>
  <c r="D78" i="10" s="1"/>
  <c r="O11" i="14"/>
  <c r="Q11" i="14" s="1"/>
  <c r="C77" i="10" s="1"/>
  <c r="D77" i="10" s="1"/>
  <c r="O10" i="14"/>
  <c r="Q10" i="14" s="1"/>
  <c r="C76" i="10" s="1"/>
  <c r="D76" i="10" s="1"/>
  <c r="O9" i="14"/>
  <c r="Q9" i="14" s="1"/>
  <c r="C75" i="10" s="1"/>
  <c r="D75" i="10" s="1"/>
  <c r="J36" i="21"/>
  <c r="D7" i="21" s="1"/>
  <c r="J13" i="21"/>
  <c r="J25" i="21"/>
  <c r="J21" i="21"/>
  <c r="J28" i="21"/>
  <c r="J24" i="21"/>
  <c r="J17" i="21"/>
  <c r="H35" i="17"/>
  <c r="C38" i="17"/>
  <c r="J18" i="21"/>
  <c r="G14" i="20"/>
  <c r="J20" i="21"/>
  <c r="F12" i="21"/>
  <c r="G37" i="21"/>
  <c r="I35" i="17"/>
  <c r="I14" i="20"/>
  <c r="D13" i="21"/>
  <c r="F13" i="21" s="1"/>
  <c r="D37" i="21"/>
  <c r="Q80" i="2"/>
  <c r="Q77" i="2"/>
  <c r="O337" i="10" l="1"/>
  <c r="Q330" i="10"/>
  <c r="R330" i="10" s="1"/>
  <c r="Q333" i="10"/>
  <c r="R333" i="10" s="1"/>
  <c r="Q76" i="2"/>
  <c r="M126" i="10"/>
  <c r="N126" i="10" s="1"/>
  <c r="M125" i="10"/>
  <c r="N125" i="10" s="1"/>
  <c r="C330" i="10"/>
  <c r="D330" i="10" s="1"/>
  <c r="D337" i="10" s="1"/>
  <c r="Q78" i="2"/>
  <c r="Q81" i="2"/>
  <c r="K582" i="10"/>
  <c r="P538" i="10"/>
  <c r="R540" i="10" s="1"/>
  <c r="Q58" i="10" s="1"/>
  <c r="G123" i="10"/>
  <c r="D253" i="10"/>
  <c r="S85" i="10"/>
  <c r="M100" i="10"/>
  <c r="G135" i="10"/>
  <c r="I169" i="10"/>
  <c r="G288" i="10"/>
  <c r="E365" i="10"/>
  <c r="S411" i="10"/>
  <c r="J497" i="10"/>
  <c r="S497" i="10"/>
  <c r="K566" i="10"/>
  <c r="N566" i="10"/>
  <c r="Q566" i="10"/>
  <c r="S100" i="10"/>
  <c r="G253" i="10"/>
  <c r="J411" i="10"/>
  <c r="R412" i="10" s="1"/>
  <c r="O169" i="10"/>
  <c r="H240" i="10"/>
  <c r="K337" i="10"/>
  <c r="Q312" i="10"/>
  <c r="J378" i="10"/>
  <c r="G85" i="10"/>
  <c r="L169" i="10"/>
  <c r="N365" i="10"/>
  <c r="C18" i="19"/>
  <c r="F17" i="19" s="1"/>
  <c r="C25" i="19" s="1"/>
  <c r="E34" i="19"/>
  <c r="C12" i="19"/>
  <c r="C15" i="19"/>
  <c r="F14" i="19" s="1"/>
  <c r="C23" i="19" s="1"/>
  <c r="J85" i="10"/>
  <c r="P85" i="10"/>
  <c r="J100" i="10"/>
  <c r="P100" i="10"/>
  <c r="K240" i="10"/>
  <c r="N240" i="10"/>
  <c r="Q230" i="10"/>
  <c r="G275" i="10"/>
  <c r="J288" i="10"/>
  <c r="M288" i="10"/>
  <c r="J318" i="10"/>
  <c r="H365" i="10"/>
  <c r="Q365" i="10"/>
  <c r="F37" i="21"/>
  <c r="D85" i="10"/>
  <c r="M85" i="10"/>
  <c r="F169" i="10"/>
  <c r="E240" i="10"/>
  <c r="J275" i="10"/>
  <c r="P288" i="10"/>
  <c r="K365" i="10"/>
  <c r="H37" i="21"/>
  <c r="J30" i="21"/>
  <c r="Q72" i="9"/>
  <c r="B11" i="19"/>
  <c r="F11" i="19" s="1"/>
  <c r="C21" i="19" s="1"/>
  <c r="J26" i="21"/>
  <c r="J37" i="21" s="1"/>
  <c r="M27" i="18"/>
  <c r="Q83" i="2"/>
  <c r="Q334" i="10"/>
  <c r="R334" i="10" s="1"/>
  <c r="R337" i="10" l="1"/>
  <c r="R173" i="10"/>
  <c r="R340" i="10"/>
  <c r="N129" i="10"/>
  <c r="R136" i="10" s="1"/>
  <c r="R499" i="10"/>
  <c r="Q55" i="10" s="1"/>
  <c r="R582" i="10"/>
  <c r="Q60" i="10" s="1"/>
  <c r="R252" i="10"/>
  <c r="R102" i="10"/>
  <c r="R296" i="10"/>
  <c r="M378" i="10"/>
  <c r="R379" i="10" s="1"/>
  <c r="Q53" i="10" l="1"/>
  <c r="Q62" i="10" s="1"/>
  <c r="Q63" i="10" s="1"/>
  <c r="A3" i="19" s="1"/>
  <c r="A21" i="19" l="1"/>
  <c r="F21" i="19" s="1"/>
  <c r="J21" i="19" s="1"/>
  <c r="J29" i="19" s="1"/>
  <c r="A25" i="19"/>
  <c r="F25" i="19" s="1"/>
  <c r="J25" i="19" s="1"/>
  <c r="A23" i="19"/>
  <c r="F23" i="19" s="1"/>
  <c r="J23" i="19" s="1"/>
  <c r="I7" i="20" l="1"/>
  <c r="I16" i="20" s="1"/>
  <c r="G20" i="20" s="1"/>
  <c r="I20" i="20" s="1"/>
  <c r="I24" i="20" s="1"/>
  <c r="E25" i="20" s="1"/>
  <c r="I25" i="20" s="1"/>
  <c r="D6" i="21"/>
  <c r="D8" i="21" s="1"/>
  <c r="D33" i="19"/>
  <c r="G33" i="19" s="1"/>
  <c r="C37" i="17"/>
  <c r="C39" i="17" s="1"/>
  <c r="I12" i="21" l="1"/>
  <c r="I20" i="21"/>
  <c r="K20" i="21" s="1"/>
  <c r="I31" i="21"/>
  <c r="K31" i="21" s="1"/>
  <c r="I23" i="21"/>
  <c r="K23" i="21" s="1"/>
  <c r="I25" i="21"/>
  <c r="K25" i="21" s="1"/>
  <c r="I30" i="21"/>
  <c r="K30" i="21" s="1"/>
  <c r="I24" i="21"/>
  <c r="K24" i="21" s="1"/>
  <c r="I21" i="21"/>
  <c r="K21" i="21" s="1"/>
  <c r="I28" i="21"/>
  <c r="K28" i="21" s="1"/>
  <c r="I22" i="21"/>
  <c r="K22" i="21" s="1"/>
  <c r="I14" i="21"/>
  <c r="K14" i="21" s="1"/>
  <c r="I15" i="21"/>
  <c r="K15" i="21" s="1"/>
  <c r="I18" i="21"/>
  <c r="K18" i="21" s="1"/>
  <c r="I26" i="21"/>
  <c r="K26" i="21" s="1"/>
  <c r="I16" i="21"/>
  <c r="K16" i="21" s="1"/>
  <c r="I17" i="21"/>
  <c r="K17" i="21" s="1"/>
  <c r="I19" i="21"/>
  <c r="K19" i="21" s="1"/>
  <c r="I13" i="21"/>
  <c r="K13" i="21" s="1"/>
  <c r="I29" i="21"/>
  <c r="K29" i="21" s="1"/>
  <c r="G26" i="20"/>
  <c r="I26" i="20" s="1"/>
  <c r="G27" i="20"/>
  <c r="I27" i="20" s="1"/>
  <c r="I37" i="21" l="1"/>
  <c r="K12" i="21"/>
  <c r="K37" i="21" s="1"/>
  <c r="L37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atk10</author>
    <author>Rakennusliitto</author>
  </authors>
  <commentList>
    <comment ref="G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 xml:space="preserve">Kantikkaat tulo- ja poistosäleiköt normiajoitetaan kokoojalaatikon liitosyhteen (pyöreän) halkaisijan mm koon </t>
        </r>
        <r>
          <rPr>
            <b/>
            <sz val="9"/>
            <color indexed="81"/>
            <rFont val="Tahoma"/>
            <family val="2"/>
          </rPr>
          <t>mukaisesti taulukosta.</t>
        </r>
      </text>
    </comment>
    <comment ref="J85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Kantikkaat ilmamääräsäätimet (IMS) ja kantikkaat palopellit normiajoitetaan Mom.2. Suorakaidekanavan ja osien asennustaulukosta sarakkeen 1. mukaisesti.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Rakennusliitto</author>
  </authors>
  <commentList>
    <comment ref="F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1-Taulukon mukaan jos kyseessä on pelkkä tulo- tai poistokoje</t>
        </r>
      </text>
    </comment>
    <comment ref="E16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Koje sisältää 6-osaa, Pakettiin erikseen liitettävät koneosat hinnoitellaan koneosien normituntitaulukon mukaan. Päälleasennuksessa +30%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Rakennusliitto</author>
    <author>Räsänen Niko</author>
  </authors>
  <commentList>
    <comment ref="K18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K30" authorId="0" shapeId="0" xr:uid="{1C2DA7B0-8F1E-4AAA-A93D-89209897C986}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K42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A45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Pituus = 
palkki + suojapelti yhteensä</t>
        </r>
      </text>
    </comment>
    <comment ref="K56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A59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Pituus = 
palkki + suojapelti yhteensä</t>
        </r>
      </text>
    </comment>
    <comment ref="K72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A75" authorId="1" shapeId="0" xr:uid="{00000000-0006-0000-0500-000007000000}">
      <text>
        <r>
          <rPr>
            <b/>
            <sz val="9"/>
            <color indexed="81"/>
            <rFont val="Tahoma"/>
            <family val="2"/>
          </rPr>
          <t>Pituus = 
palkki + suojapelti yhteensä</t>
        </r>
      </text>
    </comment>
    <comment ref="I88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>1. Esim: Enervent PLAZA, PANDION 
40-99kg
2. Esim: Enervent PELICAN, PEGASOS
100-210kg</t>
        </r>
      </text>
    </comment>
  </commentList>
</comments>
</file>

<file path=xl/sharedStrings.xml><?xml version="1.0" encoding="utf-8"?>
<sst xmlns="http://schemas.openxmlformats.org/spreadsheetml/2006/main" count="1473" uniqueCount="533">
  <si>
    <t>NH</t>
  </si>
  <si>
    <t>mm</t>
  </si>
  <si>
    <t>Eristetty</t>
  </si>
  <si>
    <t>Kanava</t>
  </si>
  <si>
    <t xml:space="preserve"> NH</t>
  </si>
  <si>
    <t>1.</t>
  </si>
  <si>
    <t>2.</t>
  </si>
  <si>
    <t>3.</t>
  </si>
  <si>
    <t>4.</t>
  </si>
  <si>
    <t>5.</t>
  </si>
  <si>
    <t>Patteri</t>
  </si>
  <si>
    <t>Äänenvaimennin</t>
  </si>
  <si>
    <t>NH / kpl</t>
  </si>
  <si>
    <t>VSS iv-koje. Kanavat hinnoitellaan taulukon mukaan</t>
  </si>
  <si>
    <t>KOKO</t>
  </si>
  <si>
    <t>0 - 250</t>
  </si>
  <si>
    <t>315 - 400</t>
  </si>
  <si>
    <t>500 - 630</t>
  </si>
  <si>
    <t>800 - 1000</t>
  </si>
  <si>
    <t>1250 -</t>
  </si>
  <si>
    <t>Tärinän eristimet</t>
  </si>
  <si>
    <t>Suojaverkko</t>
  </si>
  <si>
    <t>Jalat</t>
  </si>
  <si>
    <t>Kangasliitin</t>
  </si>
  <si>
    <t>Johtosiivistö</t>
  </si>
  <si>
    <t>Puhalluskartio</t>
  </si>
  <si>
    <t>Puhallin</t>
  </si>
  <si>
    <t>Huippuimuri</t>
  </si>
  <si>
    <t>Imukartio</t>
  </si>
  <si>
    <t>Kiljotiini, Kaarisakset, Kantti, Lokkari, Mankeli, Pistehitsi, Sikkikone sähkökäyttöinen.</t>
  </si>
  <si>
    <t>Yksinkertainen kanavan teko</t>
  </si>
  <si>
    <t>NH / m2</t>
  </si>
  <si>
    <t xml:space="preserve">Yksinkertainen </t>
  </si>
  <si>
    <t>LKT</t>
  </si>
  <si>
    <t>TL</t>
  </si>
  <si>
    <t>&gt; 0,59 m2</t>
  </si>
  <si>
    <t>&lt; 0,6 m2</t>
  </si>
  <si>
    <t>Putkituki / Kulmatuki</t>
  </si>
  <si>
    <t>D cm</t>
  </si>
  <si>
    <t>Tuulikaappikoje, pientalo LTO ullakkomalli</t>
  </si>
  <si>
    <t xml:space="preserve"> yli 1 mm pellille korotus</t>
  </si>
  <si>
    <t>Kanavapuhallin</t>
  </si>
  <si>
    <t>m 3 / s</t>
  </si>
  <si>
    <t>Hinnoittelun käyttö edellyttää asialliset verstaskoneet</t>
  </si>
  <si>
    <t>Talotuuletin, Liesikupu, Tuuletin</t>
  </si>
  <si>
    <t>Koko</t>
  </si>
  <si>
    <t>Moottoripelti</t>
  </si>
  <si>
    <t>Rautarakenteet teko ja asennus  hinnottelematon työ</t>
  </si>
  <si>
    <t>KOJEEN TUOTTO  m3 / s</t>
  </si>
  <si>
    <t>Paino kg</t>
  </si>
  <si>
    <t>NH /kpl</t>
  </si>
  <si>
    <t>Liitäntäkoko</t>
  </si>
  <si>
    <t xml:space="preserve"> - 50 mm</t>
  </si>
  <si>
    <t xml:space="preserve"> 50 - mm</t>
  </si>
  <si>
    <t>Sarake</t>
  </si>
  <si>
    <t xml:space="preserve"> 500 -</t>
  </si>
  <si>
    <t>6.</t>
  </si>
  <si>
    <t>7.</t>
  </si>
  <si>
    <t>8.</t>
  </si>
  <si>
    <t>9.</t>
  </si>
  <si>
    <t>10.</t>
  </si>
  <si>
    <t>Rivi</t>
  </si>
  <si>
    <t>Jäähdytyskoje</t>
  </si>
  <si>
    <t>Laite</t>
  </si>
  <si>
    <t>Urakan ulkopuolinen työ jolla on olemassa kattava hinnoittelu</t>
  </si>
  <si>
    <t>Hinnoittelu taulukon mukaan</t>
  </si>
  <si>
    <t>51 - 100 mm</t>
  </si>
  <si>
    <t xml:space="preserve"> </t>
  </si>
  <si>
    <t>Eristetty kanava</t>
  </si>
  <si>
    <t xml:space="preserve">Eristetty kanava </t>
  </si>
  <si>
    <t xml:space="preserve">Yksinkertainen MY keskeinen / KY 90-45-30 </t>
  </si>
  <si>
    <t>Eristetty  MY keskeinen KY / 90-45-30</t>
  </si>
  <si>
    <t>Eristetty osa /  kanava mitataan ulkokuoren mukaan</t>
  </si>
  <si>
    <t>PYÖREÄT KANAVAT JA OSAT</t>
  </si>
  <si>
    <t>Äänieristyspatja asennettuna kaikki koot</t>
  </si>
  <si>
    <t>Pakettiin erikseen liitettävät koneosat</t>
  </si>
  <si>
    <t>Yksinkertainen MY ja KY epäkeskeinen</t>
  </si>
  <si>
    <t>IV-LYHENTEET</t>
  </si>
  <si>
    <t>PK6025-ZN05</t>
  </si>
  <si>
    <t>P-kanava 250 s=0,5 l=6</t>
  </si>
  <si>
    <t>P-kanava tulpattu 250 s=0,5 l=6</t>
  </si>
  <si>
    <t>PKL6050025</t>
  </si>
  <si>
    <t>Lämpöeristetty kanava 250 Le=50 l=6</t>
  </si>
  <si>
    <t>PKÄ6050025</t>
  </si>
  <si>
    <t>Äänieristetty kanava 250 Äe=50 l=6</t>
  </si>
  <si>
    <t>PKP6050025</t>
  </si>
  <si>
    <t>Paloeristetty kanava 250 Pe=50 l=6</t>
  </si>
  <si>
    <t>Kantikas kanava 300x200 s=0,5 l=2</t>
  </si>
  <si>
    <t>KYK90025</t>
  </si>
  <si>
    <t>Kulmayhde 90 250</t>
  </si>
  <si>
    <t>KYK45025</t>
  </si>
  <si>
    <t>Kulmayhde 45 250</t>
  </si>
  <si>
    <t>LKTK025</t>
  </si>
  <si>
    <t>Lähtökaulus tasopinnasta 250</t>
  </si>
  <si>
    <t>LKPK025-025</t>
  </si>
  <si>
    <t>Lähtökaulus putkelle 250-250</t>
  </si>
  <si>
    <t>POK025</t>
  </si>
  <si>
    <t>Pohja 250</t>
  </si>
  <si>
    <t>LYPK025</t>
  </si>
  <si>
    <t>Liitin putkelle 250</t>
  </si>
  <si>
    <t>TLPP025</t>
  </si>
  <si>
    <t>Tarkastusluukku pyöreälle 250</t>
  </si>
  <si>
    <t>TLTP040x020</t>
  </si>
  <si>
    <t>Tarkastusluukku tasopintaan 400x200</t>
  </si>
  <si>
    <t>MYK025-0200</t>
  </si>
  <si>
    <t>Muuntoyhde 250-200</t>
  </si>
  <si>
    <t>TLPP025-A30</t>
  </si>
  <si>
    <t>Tarkastusluukku paloluokka A30 E=60</t>
  </si>
  <si>
    <t>SP025</t>
  </si>
  <si>
    <t>Säätöpelti 250 Esim:PRA,Iiris, MRS</t>
  </si>
  <si>
    <t>PP025</t>
  </si>
  <si>
    <t>Palopelti 250</t>
  </si>
  <si>
    <t>THPK04003150250</t>
  </si>
  <si>
    <t>T-Haara 400/315/250</t>
  </si>
  <si>
    <t>MYE025-0200</t>
  </si>
  <si>
    <t>Muuntoyhde epäkeskeinen 250-200</t>
  </si>
  <si>
    <t>USAV250</t>
  </si>
  <si>
    <t>Ulkosäleikkö 250</t>
  </si>
  <si>
    <t>ÄV02501200</t>
  </si>
  <si>
    <t>Äänenvaimennin 250 l=1200</t>
  </si>
  <si>
    <t>PK2300x200 ZN05</t>
  </si>
  <si>
    <t>PKT6025-ZN05</t>
  </si>
  <si>
    <t>MY;t ja KY;t =ympäryysmitta x kerroin</t>
  </si>
  <si>
    <t>NH/kpl</t>
  </si>
  <si>
    <t xml:space="preserve">     0,20 - 0,36</t>
  </si>
  <si>
    <t xml:space="preserve">     0,36 - 0,64</t>
  </si>
  <si>
    <t xml:space="preserve">     0,64 - 1,00</t>
  </si>
  <si>
    <t xml:space="preserve">     1,00 - 1,44</t>
  </si>
  <si>
    <t xml:space="preserve">     1,44 - 1,96</t>
  </si>
  <si>
    <t xml:space="preserve">     2,56 - 3,24</t>
  </si>
  <si>
    <t xml:space="preserve">     3,24 - 4,00</t>
  </si>
  <si>
    <t>Koje sisältää 3-osaa</t>
  </si>
  <si>
    <t>Tehdasvalmisteinen teline kojeille sisältyy asennustapaan</t>
  </si>
  <si>
    <t>Työnormit sisältää haalauksen nosturin ulottuvilta iv-konehuoneeseen</t>
  </si>
  <si>
    <t>Ääniloukku, Suodatinosa</t>
  </si>
  <si>
    <t xml:space="preserve">     0,16 - 0,20</t>
  </si>
  <si>
    <t xml:space="preserve">     0,10 - 0,16</t>
  </si>
  <si>
    <t>0 - 1,00</t>
  </si>
  <si>
    <t>1,00 - 2,00</t>
  </si>
  <si>
    <t>2,00 - 3,50</t>
  </si>
  <si>
    <t>3,50 - 5,00</t>
  </si>
  <si>
    <t>7,00 -10,00</t>
  </si>
  <si>
    <t>5,00 - 7,00</t>
  </si>
  <si>
    <t>7,00 - 10,00</t>
  </si>
  <si>
    <t>Eristetty  MY ja KY epäkeskeinen</t>
  </si>
  <si>
    <t>KONEOSIEN NORMITUNTITAULUKKO</t>
  </si>
  <si>
    <t>ITSETEHTYJEN JA VALMIIDEN OSIEN ASENNUS</t>
  </si>
  <si>
    <t>ITSETEHTYIHIN KANAVIIN JA OSIIN</t>
  </si>
  <si>
    <t xml:space="preserve">                                                   </t>
  </si>
  <si>
    <t>hinnoitellaan koneosien normituntitaulukon mukaan</t>
  </si>
  <si>
    <t>Tehdasvalmisteiset</t>
  </si>
  <si>
    <t>OSIEN TEKO</t>
  </si>
  <si>
    <t>m</t>
  </si>
  <si>
    <t>Työnantaja</t>
  </si>
  <si>
    <t>Työnumero</t>
  </si>
  <si>
    <t>Työmaa</t>
  </si>
  <si>
    <t>Välimittaus</t>
  </si>
  <si>
    <t>Loppumittaus</t>
  </si>
  <si>
    <t>KPL</t>
  </si>
  <si>
    <t xml:space="preserve">   1. Eristämätön kanava</t>
  </si>
  <si>
    <t xml:space="preserve">   TARKASTUSLUUKKU (kantikas ja pyöreä)</t>
  </si>
  <si>
    <t xml:space="preserve">  Eristämätön</t>
  </si>
  <si>
    <t xml:space="preserve">  Eristetty</t>
  </si>
  <si>
    <t xml:space="preserve">   8. Eristämätön Haara, saapasosa</t>
  </si>
  <si>
    <t>Jälkilämmityspatteri ja jäähdytyspatteri hinnoitellaan kanavassa kulkevan</t>
  </si>
  <si>
    <t>ilmamäärän mukaan taulukosta.</t>
  </si>
  <si>
    <t>NH/m</t>
  </si>
  <si>
    <t>0 - 1m2</t>
  </si>
  <si>
    <t>1,2m2</t>
  </si>
  <si>
    <t>1,4m2</t>
  </si>
  <si>
    <t>1,6m2</t>
  </si>
  <si>
    <t>1,8m2</t>
  </si>
  <si>
    <t>2m2</t>
  </si>
  <si>
    <t>2,4m2</t>
  </si>
  <si>
    <t>2,8m2</t>
  </si>
  <si>
    <t>3,2m2</t>
  </si>
  <si>
    <t>3,6m2</t>
  </si>
  <si>
    <t>3,8m2</t>
  </si>
  <si>
    <t>4m2</t>
  </si>
  <si>
    <t>4,4m2</t>
  </si>
  <si>
    <t>4,8m2</t>
  </si>
  <si>
    <t>5m2</t>
  </si>
  <si>
    <t>5,4m2</t>
  </si>
  <si>
    <t>5,8m2</t>
  </si>
  <si>
    <t>2 x 1</t>
  </si>
  <si>
    <t>6m2</t>
  </si>
  <si>
    <t>6,4m2</t>
  </si>
  <si>
    <t>6,8m2</t>
  </si>
  <si>
    <t>7,2m2</t>
  </si>
  <si>
    <t>7,6m2</t>
  </si>
  <si>
    <t>3 x 1</t>
  </si>
  <si>
    <t>8m2</t>
  </si>
  <si>
    <t>Sivu a</t>
  </si>
  <si>
    <t>Sivu b mm</t>
  </si>
  <si>
    <t>1m2</t>
  </si>
  <si>
    <t>1,1m2</t>
  </si>
  <si>
    <t>1,3m2</t>
  </si>
  <si>
    <t>1,5m2</t>
  </si>
  <si>
    <t>1,7m2</t>
  </si>
  <si>
    <t>2,2m2</t>
  </si>
  <si>
    <t>1,9m2</t>
  </si>
  <si>
    <t>2,1m2</t>
  </si>
  <si>
    <t>2,6m2</t>
  </si>
  <si>
    <t>2,5m2</t>
  </si>
  <si>
    <t>3m2</t>
  </si>
  <si>
    <t>3,4m2</t>
  </si>
  <si>
    <t>5,2m2</t>
  </si>
  <si>
    <t>5,6m2</t>
  </si>
  <si>
    <t>6,2m2</t>
  </si>
  <si>
    <t>6,6m2</t>
  </si>
  <si>
    <t>7m2</t>
  </si>
  <si>
    <t>7,8m2</t>
  </si>
  <si>
    <t>8,6m2</t>
  </si>
  <si>
    <t>8,4m2</t>
  </si>
  <si>
    <t>9m2</t>
  </si>
  <si>
    <t>8,8m2</t>
  </si>
  <si>
    <t>9,4m2</t>
  </si>
  <si>
    <t xml:space="preserve">Sivun </t>
  </si>
  <si>
    <t>KANTIKAS ULKOSÄLEIKKÖ  *</t>
  </si>
  <si>
    <t>Perusnormitunnit</t>
  </si>
  <si>
    <t>Sivun</t>
  </si>
  <si>
    <t>Normituntien summa</t>
  </si>
  <si>
    <t>m2</t>
  </si>
  <si>
    <t>NH / a</t>
  </si>
  <si>
    <t>KPL / m</t>
  </si>
  <si>
    <t>NH /a</t>
  </si>
  <si>
    <t>Osien teko</t>
  </si>
  <si>
    <t>Kuittaus</t>
  </si>
  <si>
    <t>Työntekijä</t>
  </si>
  <si>
    <t xml:space="preserve"> ÄE-Kanavan muovitus</t>
  </si>
  <si>
    <t xml:space="preserve">  Piiri x m = m2</t>
  </si>
  <si>
    <t xml:space="preserve"> 0,3 x 0,2</t>
  </si>
  <si>
    <t xml:space="preserve"> 0,6 x 0,4</t>
  </si>
  <si>
    <t xml:space="preserve"> 1,2 x 0,8</t>
  </si>
  <si>
    <t>Etusivu</t>
  </si>
  <si>
    <t>Konehuonelisä, koskee kanavistoja</t>
  </si>
  <si>
    <t>Työskentelykorkeus lattasta tai maasta kanavaan yli</t>
  </si>
  <si>
    <t>+</t>
  </si>
  <si>
    <t xml:space="preserve">  RST - HST - tai pinnoitettu materiaali</t>
  </si>
  <si>
    <t xml:space="preserve">  Yli 1 mm pellistä tehty kanava</t>
  </si>
  <si>
    <t xml:space="preserve"> Mom. 1.</t>
  </si>
  <si>
    <t xml:space="preserve">  3.  Eristämätön kanava, Sovituspää, Kanavan katkaisu</t>
  </si>
  <si>
    <t xml:space="preserve">   7. Äänenvaimennin</t>
  </si>
  <si>
    <t xml:space="preserve">  Asennukset laboratoriossa ja erityistä puhtautta</t>
  </si>
  <si>
    <t xml:space="preserve">  vaativat työt, vaativampi kuin P1-luokka</t>
  </si>
  <si>
    <t xml:space="preserve">  1.  Eristämätön kanava, KY, MY, LKT, TY, SY pääte suuremman pään mukaan,</t>
  </si>
  <si>
    <t xml:space="preserve">       ilmasäätimet (IMS) ja palopellit</t>
  </si>
  <si>
    <t xml:space="preserve">  2.  Eristetty kanava KY, MY, LKT, TY, SY pääte suuremman pään mukaan</t>
  </si>
  <si>
    <t xml:space="preserve">  4.  Eristetty kanava, Sovituspää, Kanavan katkaisu, mitoitus ulkokuoren mukaan</t>
  </si>
  <si>
    <t>Päälleasennuksessa + 30% ei koske riviä 1</t>
  </si>
  <si>
    <t>Haitta%</t>
  </si>
  <si>
    <t xml:space="preserve">  </t>
  </si>
  <si>
    <t>PÄIVÄMÄÄRÄ</t>
  </si>
  <si>
    <t>YHT</t>
  </si>
  <si>
    <t>PALAUTUS</t>
  </si>
  <si>
    <t>JÄÄ</t>
  </si>
  <si>
    <t>D CM</t>
  </si>
  <si>
    <t>Mom. 1. Pyöreät kanavat ja osat 1 / Eristämätön kanava</t>
  </si>
  <si>
    <t>Mom.1. Pyöreät kanavat ja osat 2 / Eristetty kanava ÄE, LE, PE, - 50mm</t>
  </si>
  <si>
    <t>Mom.1. Pyöreät kanavat ja osat 6 / EYMA, Ulospuhallinhajoittaja</t>
  </si>
  <si>
    <t>Mom.1. Pyöreät kanavat ja osat 9 / Eristetty Haara, saapasosa</t>
  </si>
  <si>
    <t>Mom.1. Pyöreät kanavat ja osat 7 / Äänenvaimennin</t>
  </si>
  <si>
    <t>Mom.1. Pyöreät kanavat ja osat 8 / Eristetämätön Haara, saapasosa</t>
  </si>
  <si>
    <t>Mom.1. Pyöreät kanavat ja osat / Tarkastusluukku ( kantikas ja pyöreä)</t>
  </si>
  <si>
    <t>ERISTETTY</t>
  </si>
  <si>
    <t>ERISTÄMÄTÖN</t>
  </si>
  <si>
    <t>Liitetään urakkaan vain työkunnan niin halutessa</t>
  </si>
  <si>
    <t>Mom.1. Pyöreät kanavat ja osat / Kantikas ulkosäleikkö *</t>
  </si>
  <si>
    <t>Mom.1. Pyöreät kanavat ja osat  / Ulkosäleiköt *</t>
  </si>
  <si>
    <t xml:space="preserve">                 0 - 1</t>
  </si>
  <si>
    <t>Mom.2. Suorakaidekanavat / 2. eristetty kanava, KY, MY, LKT, TY, SY, pääte suuremman pään mukaan</t>
  </si>
  <si>
    <t>Mom.2. Suorakaidekanavat / 3. Eristämätön kanava, Sovituspää, Kanavan katkaisu</t>
  </si>
  <si>
    <t>Mom.2. Suorakaidekanavat / 4. Eristetty kanava, Sovituspää, Kanavan katkaisu, mitoitus ulkokuoren mukaan</t>
  </si>
  <si>
    <t>Koko mm</t>
  </si>
  <si>
    <t>Päivämäärä</t>
  </si>
  <si>
    <t>ILMANVAIHTOKONEET</t>
  </si>
  <si>
    <t>Mom.4. / 1. Tuloilmakoje (pelkkä tulo- tai poistokoje)</t>
  </si>
  <si>
    <t>Mom.4. / 2. Tulo- ja poistoilmakojepaketti</t>
  </si>
  <si>
    <t xml:space="preserve">  m3 / s</t>
  </si>
  <si>
    <t>Mom.4. / koneosien normituntitaulukko / jälkilämmityspatteri ja jäähdytyspatteri kanavassa kulkevan ilmamäärän mukaan taulukosta</t>
  </si>
  <si>
    <t>2. Patteri</t>
  </si>
  <si>
    <t>3. Äänenvaimennin</t>
  </si>
  <si>
    <t>4. Puhallin</t>
  </si>
  <si>
    <t>Mom.5. Pienkojeet</t>
  </si>
  <si>
    <t>Tasotuuletin, liesikupu, tuuletin</t>
  </si>
  <si>
    <t>MOM.6. AKSIAALIPUHALTIMET</t>
  </si>
  <si>
    <t>Mom.6. Aksiaalipuhaltimet / 1. Tärinän eristimet</t>
  </si>
  <si>
    <t>Mom.6. Aksiaalipuhaltimet / 2. Suojaverkko</t>
  </si>
  <si>
    <t>Mom.6. Aksiaalipuhaltimet / 3. Jalat</t>
  </si>
  <si>
    <t>Mom.6. Aksiaalipuhaltimet / 4. Kangasliitin</t>
  </si>
  <si>
    <t>Mom.6. Aksiaalipuhaltimet / 5. Johtosiivistö</t>
  </si>
  <si>
    <t>Mom.6. Aksiaalipuhaltimet / 6. Imukartio</t>
  </si>
  <si>
    <t>Mom.6. Aksiaalipuhaltimet / 7. Puhalluskartio</t>
  </si>
  <si>
    <t>Mom.6. Aksiaalipuhaltimet / 8. Ääniloukku, Suodatinosa</t>
  </si>
  <si>
    <t>Mom.6. Aksiaalipuhaltimet / 9. Moottoripelti</t>
  </si>
  <si>
    <t>Mom.6. Aksiaalipuhaltimet / 10. Puhallin</t>
  </si>
  <si>
    <t xml:space="preserve"> 1250 -</t>
  </si>
  <si>
    <t>Mom.6. Aksiaalipuhaltimet / Huippuimuri / Imuri</t>
  </si>
  <si>
    <t>Mom.6. Aksiaalipuhaltimet / Huippuimuri / LV - Piippu</t>
  </si>
  <si>
    <t>Haittalisä</t>
  </si>
  <si>
    <t>Nimike</t>
  </si>
  <si>
    <t>Määrä</t>
  </si>
  <si>
    <t>Normiaika</t>
  </si>
  <si>
    <t>NORMITUNTEINA SOVITUT TYÖT</t>
  </si>
  <si>
    <t>Yhteensä</t>
  </si>
  <si>
    <t>URAKKATUNNIT</t>
  </si>
  <si>
    <t>NHK1</t>
  </si>
  <si>
    <t>NHK2</t>
  </si>
  <si>
    <t>NHK3</t>
  </si>
  <si>
    <t>NHK 1</t>
  </si>
  <si>
    <t>NHK 2</t>
  </si>
  <si>
    <t>NHK 3</t>
  </si>
  <si>
    <t>asentajat</t>
  </si>
  <si>
    <t>ulosmaksu</t>
  </si>
  <si>
    <t>yht. tunnit</t>
  </si>
  <si>
    <t>yht. €</t>
  </si>
  <si>
    <t>yht</t>
  </si>
  <si>
    <t xml:space="preserve">URAKKASUMMA </t>
  </si>
  <si>
    <t>€</t>
  </si>
  <si>
    <t>h</t>
  </si>
  <si>
    <t>URAKKA KTA .</t>
  </si>
  <si>
    <t>NHK- MUUTTUU KESKEN URAKAN</t>
  </si>
  <si>
    <t>H</t>
  </si>
  <si>
    <t>x</t>
  </si>
  <si>
    <t>=</t>
  </si>
  <si>
    <t>%</t>
  </si>
  <si>
    <t>NH    X</t>
  </si>
  <si>
    <t>€  =</t>
  </si>
  <si>
    <t>URAKKASUMMA</t>
  </si>
  <si>
    <t>URAKAN KESKITUNTIANSIO</t>
  </si>
  <si>
    <t>€/h</t>
  </si>
  <si>
    <t>Normitunteina sovitut</t>
  </si>
  <si>
    <t>Vaativuus ja olosuhdelisät</t>
  </si>
  <si>
    <t>800-1000</t>
  </si>
  <si>
    <t>VÄLIPOHJAT</t>
  </si>
  <si>
    <t>päivämäärä</t>
  </si>
  <si>
    <t>yht.</t>
  </si>
  <si>
    <t>välipohjat yht</t>
  </si>
  <si>
    <t>Urakkasumma</t>
  </si>
  <si>
    <t>Tes:n takuupalkka</t>
  </si>
  <si>
    <t>€ x</t>
  </si>
  <si>
    <t>h    =</t>
  </si>
  <si>
    <t>Erotus</t>
  </si>
  <si>
    <t xml:space="preserve">      =</t>
  </si>
  <si>
    <t xml:space="preserve">Urakkasumman ja </t>
  </si>
  <si>
    <t>takuupalkan erotus x 5,3% = Etumieslisä</t>
  </si>
  <si>
    <t>€ =</t>
  </si>
  <si>
    <t xml:space="preserve">Miinus: ennakko x etumiestunnit </t>
  </si>
  <si>
    <t>Etumieslisää maksetaan</t>
  </si>
  <si>
    <t>etumieslisä tunnilta</t>
  </si>
  <si>
    <t>€/</t>
  </si>
  <si>
    <t>1 Etumies</t>
  </si>
  <si>
    <t>h x</t>
  </si>
  <si>
    <t>maksetaan</t>
  </si>
  <si>
    <t>2 Etumies</t>
  </si>
  <si>
    <t>Etumieslisän laskenta</t>
  </si>
  <si>
    <t>JAKOLISTA</t>
  </si>
  <si>
    <t xml:space="preserve">                  TYÖMAA                    </t>
  </si>
  <si>
    <t xml:space="preserve">      URAKKASUMMA </t>
  </si>
  <si>
    <t>urakan ja-</t>
  </si>
  <si>
    <t>MAKSETTU</t>
  </si>
  <si>
    <t>MAKSETUT</t>
  </si>
  <si>
    <t>URAKKA</t>
  </si>
  <si>
    <t xml:space="preserve"> NIMI</t>
  </si>
  <si>
    <t>TUNNIT</t>
  </si>
  <si>
    <t>ko osuus</t>
  </si>
  <si>
    <t xml:space="preserve">PALKKA </t>
  </si>
  <si>
    <t>OSUUS</t>
  </si>
  <si>
    <t>PALKAT YHT</t>
  </si>
  <si>
    <t>MAKSETAAN</t>
  </si>
  <si>
    <t>MAKSETTU PALKKA = ULOSMAKSU X URAKKATUNNIT</t>
  </si>
  <si>
    <t>URAKKA OSUUS = URAKAN JAKO-OSUUS X URAKKASUMMA :URAKAN JOKO-OSUUKSIEN SUMMA</t>
  </si>
  <si>
    <t>MAKSETUT PALKAT YHT. = MAKSETTU PALKKA + VÄLIPOHJAT</t>
  </si>
  <si>
    <t>MAKSETAAN = URAKKA OSUUS - MAKSETUT PALKAT YHT.</t>
  </si>
  <si>
    <t>Urakkapöytäkirja</t>
  </si>
  <si>
    <t>Pyöreät kanavat ja osat</t>
  </si>
  <si>
    <t>Suorakaidekanavat</t>
  </si>
  <si>
    <t>Venttiilit</t>
  </si>
  <si>
    <t>VALMIIN KANAVAN JA OSIEN ASENNUS</t>
  </si>
  <si>
    <t>Tarkastusluukku, ulkosäleiköt</t>
  </si>
  <si>
    <t>Pienkojeet</t>
  </si>
  <si>
    <t>Aksiaalipuhaltimet</t>
  </si>
  <si>
    <t>Huippuimuri, LV-Piippu</t>
  </si>
  <si>
    <t>Vaativuus, olosuhdelisät</t>
  </si>
  <si>
    <t>Urakkatunnit</t>
  </si>
  <si>
    <t>Välipohjat</t>
  </si>
  <si>
    <t>Etumieslisä</t>
  </si>
  <si>
    <t>NHK-muuttuu kesken urakan</t>
  </si>
  <si>
    <t xml:space="preserve">Ilmanvaihtokoneet, koneosat </t>
  </si>
  <si>
    <t>Jakolista</t>
  </si>
  <si>
    <t>Haitta %</t>
  </si>
  <si>
    <t>Etumies</t>
  </si>
  <si>
    <t>500-</t>
  </si>
  <si>
    <t>piiri x m = m2</t>
  </si>
  <si>
    <t>Vaativuus ja olosuhdelisät:</t>
  </si>
  <si>
    <t>m/kpl</t>
  </si>
  <si>
    <t xml:space="preserve">SIVU A + SIVU B x 2 x 1m = m2   </t>
  </si>
  <si>
    <t xml:space="preserve">Mom.3. Venttiilit / 1. Tulo ja poistosäleiköt Esim: TRYa, Colibri, SVQ </t>
  </si>
  <si>
    <t>Mom.3. Venttiilit / 2. piennopeusjakolaite Esim: FMH</t>
  </si>
  <si>
    <t>Mom.3. / Venttiilit / 5. Tulo ja poistoventtiilit Esim. URH, EXCa, ULA, KSO, KTS, KVBa, SET, RCL</t>
  </si>
  <si>
    <t>Mom.3. / Venttiilit / 6. Paineenalennus ja tasauslaatikot THA, B, C, K, L, TRC, PRG, PRH, PCA.</t>
  </si>
  <si>
    <t>Jos pyörivä LTO-yksikkö tulee osina työmaalle, kokoaminen</t>
  </si>
  <si>
    <t>hinnoittelematonta työtä.</t>
  </si>
  <si>
    <t>40-99</t>
  </si>
  <si>
    <t>100-210</t>
  </si>
  <si>
    <t>Mom.5. Pienkojeet / Ilmanvaihtolaitteet omakotitaloihin, toimitiloihin yms.</t>
  </si>
  <si>
    <t>100-160</t>
  </si>
  <si>
    <t>200-315</t>
  </si>
  <si>
    <t>Sälepelti,väliosa, kostutin</t>
  </si>
  <si>
    <t>Kohde poistopuhallin kone</t>
  </si>
  <si>
    <t>Kohde poistopuheltimen "kärsä"</t>
  </si>
  <si>
    <t>Talotekniikkapalkit</t>
  </si>
  <si>
    <t>Talotekniikkapalkin pituus = palkin pituus + suojapellin pituus</t>
  </si>
  <si>
    <t>Pituus mm</t>
  </si>
  <si>
    <t>Mom.5. Pienkojeet / Talotekniikkapalkit</t>
  </si>
  <si>
    <t>Elpotek kytkentä</t>
  </si>
  <si>
    <t>Mom.1. Pyöreät kanavat ja osat  / Elpotek kytkentä</t>
  </si>
  <si>
    <t>PVM</t>
  </si>
  <si>
    <t xml:space="preserve">URAKAN JAKO-OSUUS = PERUSPALKKA X URAKKATUNNIT </t>
  </si>
  <si>
    <t>Ohjelma perustuu:</t>
  </si>
  <si>
    <t>Lvi-toimialan työehtosopimukseen</t>
  </si>
  <si>
    <t>Vapaan työskentelytilan korkeus</t>
  </si>
  <si>
    <t>1. Sälepelti, väliosa, kostutin</t>
  </si>
  <si>
    <t>Mom.1. Pyöreät kanavat ja osat 3 / Eristetty kanava ÄE, LE, PE 50 - mm</t>
  </si>
  <si>
    <t>Mom.3. Venttiilit / 3. Palopelti E-luokka(tavallinen),  pyöreät ilmamääräsäätimet</t>
  </si>
  <si>
    <t>Mom.3. / Venttiilit / 4. Palopelt, EI-luokka (keraaminen)</t>
  </si>
  <si>
    <t xml:space="preserve">  3.  Palopelti E-luokka(tavallinen), ja pyöreät ilmamääräsäätimet</t>
  </si>
  <si>
    <t xml:space="preserve">  4.  Palopelti EI-luokka(keraaminen)</t>
  </si>
  <si>
    <t xml:space="preserve">    ULKOSÄLEIKÖT  *</t>
  </si>
  <si>
    <t xml:space="preserve">  1.  Tulo ja poistosäleiköt Esim. TRYa, colibri, SVQ</t>
  </si>
  <si>
    <t xml:space="preserve">  2.  Piennopeusjakolaite Esim. FMH</t>
  </si>
  <si>
    <t xml:space="preserve">  5.  Tulo ja poistoventtiilit Esim. URH, EXCa, ULA, KSO, KTS, KVBa, SET, RCL</t>
  </si>
  <si>
    <t xml:space="preserve">  6.  Paineenalennus ja tasauslaatiko tEsim. TRI, DTTZ, ATTB, ALSa, VDYc</t>
  </si>
  <si>
    <t>0 - 0,99</t>
  </si>
  <si>
    <t>1,00 - 1,99</t>
  </si>
  <si>
    <t>2,00 - 3,49</t>
  </si>
  <si>
    <t>3,50 - 4,99</t>
  </si>
  <si>
    <t xml:space="preserve">5,00 - 6,99 </t>
  </si>
  <si>
    <t>Niko Räsänen</t>
  </si>
  <si>
    <t>Lisätiedot Rakennusliitto</t>
  </si>
  <si>
    <t>0405087731/ niko.rasanen@rakennusliitto.fi</t>
  </si>
  <si>
    <t>Perus-tuntipalkka</t>
  </si>
  <si>
    <t xml:space="preserve">   6. Ulospuhallinhajoittaja, Esim Eyma</t>
  </si>
  <si>
    <t xml:space="preserve">   2. Eristetty kanava ÄE, LE, PE - 50 mm</t>
  </si>
  <si>
    <t xml:space="preserve">   3. Eristetty kanava  ÄE, LE, PE 50 - mm</t>
  </si>
  <si>
    <t xml:space="preserve">        ulkoliitin kanavasta alle 1m, SP; YHDEPL </t>
  </si>
  <si>
    <t xml:space="preserve">   9. Eristetty haara, saapasoasa</t>
  </si>
  <si>
    <t xml:space="preserve">    10. Suutinkanava</t>
  </si>
  <si>
    <t>Halkai-sija</t>
  </si>
  <si>
    <t>Mom.1. Pyöreät kanavat ja osat 10 /Suutinkanavat</t>
  </si>
  <si>
    <t xml:space="preserve">  7.  Tulo- ja poistoilmavirtasäädin, esim. Halton HHW</t>
  </si>
  <si>
    <t>Mom.3. / Venttiilit / 7. Tulo- ja poistoilmavirtasäädin, esim. Halton HHW</t>
  </si>
  <si>
    <t>TULO- TAI POISTOILMAKOJE, SISÄLTÄÄ 3 OSAA</t>
  </si>
  <si>
    <t>TULO- JA POISTOILMAKOJEPAKETTI, SISÄLTÄÄ 6 OSAA</t>
  </si>
  <si>
    <t>Pientalo LTO kone seinämalli, alle 40 kg</t>
  </si>
  <si>
    <t>ILMANVAIHTOLAITTEET OMAKOTITALOIHIN,</t>
  </si>
  <si>
    <r>
      <rPr>
        <b/>
        <sz val="10"/>
        <rFont val="Arial"/>
        <family val="2"/>
      </rPr>
      <t>TOIMITILOIHIN YMS</t>
    </r>
    <r>
      <rPr>
        <sz val="10"/>
        <rFont val="Arial"/>
      </rPr>
      <t>.</t>
    </r>
  </si>
  <si>
    <t>Imuri NH</t>
  </si>
  <si>
    <t>LV-piippu NH</t>
  </si>
  <si>
    <t>Urakanjako-osuus</t>
  </si>
  <si>
    <t xml:space="preserve">Palkkaryhmä S </t>
  </si>
  <si>
    <t>Takuupalkka palkkaryhmä 3 x Urakkatunnit</t>
  </si>
  <si>
    <t>Takuupalkka palkkaryhmä S x Urakkatunnit</t>
  </si>
  <si>
    <t>Takuupalkka palkkaryhmä 1 x Urakkatunnit</t>
  </si>
  <si>
    <t>PALKKARYHMÄ 1 KUULUVAT KIRJATAAN SINISEEN OSIOON</t>
  </si>
  <si>
    <t>PALKKARYHMÄ S KUULUVAT KIRJATAAN KELTAISEEN OSIOON</t>
  </si>
  <si>
    <t>PALKKARYMÄSSÄ 1 OLEVIEN PERUSTUNTIPALKAKSI KIRJATAAN 50% PALKKARYHMÄ 3 PALKASTA</t>
  </si>
  <si>
    <t xml:space="preserve">Pientalo LTO kone seinämalli -40kg                                 </t>
  </si>
  <si>
    <t>Tuulikaappikoje</t>
  </si>
  <si>
    <t xml:space="preserve">VSS iv-koje. </t>
  </si>
  <si>
    <t>Kanavapuhallin 100 - 160</t>
  </si>
  <si>
    <t>Kanavapuhallin 200 - 315</t>
  </si>
  <si>
    <t>Normitunti kertoimet</t>
  </si>
  <si>
    <t>urakka     tunnit</t>
  </si>
  <si>
    <t>urakka   tunnit</t>
  </si>
  <si>
    <t xml:space="preserve">PALKKARYHMÄ S KUULUVAT </t>
  </si>
  <si>
    <t xml:space="preserve">Kuilulisä </t>
  </si>
  <si>
    <t>5,0m</t>
  </si>
  <si>
    <t xml:space="preserve">8,0m </t>
  </si>
  <si>
    <t>1,8m</t>
  </si>
  <si>
    <t>0,90m</t>
  </si>
  <si>
    <t>Saneerauslisä %</t>
  </si>
  <si>
    <t>Passiivipaneelit</t>
  </si>
  <si>
    <t>Muut rakennukset</t>
  </si>
  <si>
    <t>Majoitus- ja hotellirakennukset</t>
  </si>
  <si>
    <t xml:space="preserve">    5.  Eristetty KY, TY, MY, LKP, TP, EP, </t>
  </si>
  <si>
    <t>Mom.5. Pienkojeet / Passiivipaneelit, majoitus- ja hotellirakennukset</t>
  </si>
  <si>
    <t>Mom.5. Pienkojeet / Passiivipaneelit, muut rakennukset</t>
  </si>
  <si>
    <t xml:space="preserve">Jäähdytys, talotekniikkapalkkien ja passiivipaneelien asennuksen normiaikoja korotetaan </t>
  </si>
  <si>
    <t>15% mikäli käytössä ei ole kanavanostinta tai muuta vastaavaa apulaitetta</t>
  </si>
  <si>
    <t xml:space="preserve">   4. Eristämätön MY, KY, TY, LKP, TULPPA, EP,</t>
  </si>
  <si>
    <t xml:space="preserve">KIERTOILMAKOJEET, JÄÄHDYTYSPALKIT </t>
  </si>
  <si>
    <t xml:space="preserve">Olosuhdelisät </t>
  </si>
  <si>
    <t>Kiertoilmakojeet, palkit ja paneelit</t>
  </si>
  <si>
    <t>Kiertoilmakojeet ja jäähdytyspalkit</t>
  </si>
  <si>
    <t>Talotekniikkapalkki sisältää jäähdytys/lämmitysjärjestelmän lisäksi muutakin tekniikka, kuten sähkötekniikka.</t>
  </si>
  <si>
    <t>Mom.5. Pienkojeet / Kiertoilmakojeet ja jäähdytyspalkit</t>
  </si>
  <si>
    <t>1. Yhteen virtauspiiriin kytkettävät</t>
  </si>
  <si>
    <t>2. Useampaan kuin yhteen virtauspiiriin kytkettävät</t>
  </si>
  <si>
    <t>Koko   kg</t>
  </si>
  <si>
    <t>-56</t>
  </si>
  <si>
    <t>Koko kg</t>
  </si>
  <si>
    <t>Vaativuuslisät</t>
  </si>
  <si>
    <t>Savunpoistokanavat</t>
  </si>
  <si>
    <t>Suorakaidekanava</t>
  </si>
  <si>
    <t>Pyöreäkanava</t>
  </si>
  <si>
    <t>Mom.1. Pyöreät kanavat ja osat 4 / Eristämätön, MY, KY, TY, LKP, TULPPA, ulkoliitin kanavasta itsetehty &lt;1M, SP, YHDEPL,</t>
  </si>
  <si>
    <t xml:space="preserve"> lämpölaajenemiskompensaattori, tarkastusluukku valmiiseen osaan</t>
  </si>
  <si>
    <t>Mom.2. Suorakaidekanavat / 1. Eristämätön kanava, KY, MY, LKT, TY, SY, pääte suuremman pään mukaan, (IMS) ja palopellit, lämpölaajenemiskompensaattori</t>
  </si>
  <si>
    <t xml:space="preserve">     3,24 - 4,01</t>
  </si>
  <si>
    <t xml:space="preserve">     2,56 - 3,25</t>
  </si>
  <si>
    <t>1,96 - 2,55</t>
  </si>
  <si>
    <t>0,10 - 0,15</t>
  </si>
  <si>
    <t xml:space="preserve">     1,96 - 2,55</t>
  </si>
  <si>
    <t>Mom.1. Pyöreät kanavat ja osat / Palo-osastoinnista johtuva lisäkannakointi</t>
  </si>
  <si>
    <t>PALO-OSASTOINNISTA JOHTUVA LISÄKANNAKOINTI</t>
  </si>
  <si>
    <t xml:space="preserve">Mom. 7  OSIEN TEKO </t>
  </si>
  <si>
    <t xml:space="preserve"> Vaativuus- ja olosuhdelisät </t>
  </si>
  <si>
    <t xml:space="preserve">Mom. 6 AKSIAALIPUHALTIMET </t>
  </si>
  <si>
    <t xml:space="preserve">Mom. 5 PIENKOJEET </t>
  </si>
  <si>
    <t xml:space="preserve">Mom.  4. ILMANVAIHTOKONEET </t>
  </si>
  <si>
    <t xml:space="preserve"> Mom 3 VENTTIILIT </t>
  </si>
  <si>
    <t xml:space="preserve">Mom. 2 Suorakaidekanavataulukko </t>
  </si>
  <si>
    <t xml:space="preserve">  Mom. 2   SUORAKAIDEKANAVAT </t>
  </si>
  <si>
    <t xml:space="preserve">PYÖREÄT KANAVAT JA OSAT </t>
  </si>
  <si>
    <t xml:space="preserve">Vuosien 2022 - 2024 Talotekniikka-alan </t>
  </si>
  <si>
    <t>NH/Kpl</t>
  </si>
  <si>
    <t>Mom.2. Suorakaidekanavat / Palo-osastoinnista johtuva lisäkannakointi</t>
  </si>
  <si>
    <t>TALOTEKNIIKKAPALKIT, PASSIIVIPANEELIT</t>
  </si>
  <si>
    <t xml:space="preserve">        JATKO</t>
  </si>
  <si>
    <t>Mom.1. Pyöreät kanavat ja osat 5 / Eristetty KY, TY, MY, LKP, LKT, TP, EP, JATKO</t>
  </si>
  <si>
    <r>
      <t xml:space="preserve">PALKKARYHMÄ 1 KUULUVAT SINISESSÄ OSIOSSA                                                                                  </t>
    </r>
    <r>
      <rPr>
        <sz val="10"/>
        <rFont val="Arial"/>
        <family val="2"/>
      </rPr>
      <t>Palkkaryhmä 1 perustuntipalkaksi kirjataan 50% palkkaryhmä 3:sta joka on 1.6.2022 / 8,71 €.</t>
    </r>
  </si>
  <si>
    <t>Päivitetty 17.8.2022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</si>
</sst>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\ _€_-;\-* #,##0.00\ _€_-;_-* &quot;-&quot;??\ _€_-;_-@_-"/>
    <numFmt numFmtId="165" formatCode="#,##0.00\ &quot;mk&quot;;[Red]\-#,##0.00\ &quot;mk&quot;"/>
    <numFmt numFmtId="166" formatCode="_-* #,##0\ _m_k_-;\-* #,##0\ _m_k_-;_-* &quot;-&quot;\ _m_k_-;_-@_-"/>
    <numFmt numFmtId="167" formatCode="0.00;[Red]0.00"/>
    <numFmt numFmtId="168" formatCode="0.0;[Red]0.0"/>
    <numFmt numFmtId="169" formatCode="0;[Red]0"/>
    <numFmt numFmtId="170" formatCode="0.000"/>
    <numFmt numFmtId="171" formatCode="0.000;[Red]0.000"/>
    <numFmt numFmtId="172" formatCode="d\.m\."/>
    <numFmt numFmtId="173" formatCode="0.0"/>
    <numFmt numFmtId="174" formatCode="0.0\ %"/>
  </numFmts>
  <fonts count="40" x14ac:knownFonts="1">
    <font>
      <sz val="10"/>
      <name val="Arial"/>
    </font>
    <font>
      <sz val="10"/>
      <name val="Arial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9"/>
      <name val="Arial"/>
      <family val="2"/>
    </font>
    <font>
      <sz val="26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u/>
      <sz val="8.8000000000000007"/>
      <color indexed="12"/>
      <name val="Arial"/>
      <family val="2"/>
    </font>
    <font>
      <u/>
      <sz val="12"/>
      <color indexed="12"/>
      <name val="Arial"/>
      <family val="2"/>
    </font>
    <font>
      <b/>
      <sz val="11"/>
      <name val="Arial"/>
      <family val="2"/>
    </font>
    <font>
      <b/>
      <sz val="9"/>
      <color indexed="81"/>
      <name val="Tahoma"/>
      <family val="2"/>
    </font>
    <font>
      <b/>
      <sz val="26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u/>
      <sz val="11"/>
      <color indexed="12"/>
      <name val="Arial"/>
      <family val="2"/>
    </font>
    <font>
      <sz val="11"/>
      <name val="Arial"/>
      <family val="2"/>
    </font>
    <font>
      <u/>
      <sz val="8"/>
      <color indexed="12"/>
      <name val="Arial"/>
      <family val="2"/>
    </font>
    <font>
      <i/>
      <sz val="11"/>
      <name val="Arial"/>
      <family val="2"/>
    </font>
    <font>
      <b/>
      <sz val="16"/>
      <name val="Arial"/>
      <family val="2"/>
    </font>
    <font>
      <sz val="8.8000000000000007"/>
      <name val="Arial"/>
      <family val="2"/>
    </font>
    <font>
      <u/>
      <sz val="10"/>
      <name val="Arial"/>
      <family val="2"/>
    </font>
    <font>
      <u/>
      <sz val="9"/>
      <name val="Arial"/>
      <family val="2"/>
    </font>
    <font>
      <u/>
      <sz val="8.8000000000000007"/>
      <color indexed="12"/>
      <name val="Arial"/>
      <family val="2"/>
    </font>
    <font>
      <u/>
      <sz val="10"/>
      <color indexed="12"/>
      <name val="Arial"/>
      <family val="2"/>
    </font>
    <font>
      <sz val="22"/>
      <name val="Franklin Gothic Medium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u/>
      <sz val="8.8000000000000007"/>
      <color rgb="FF0000FF"/>
      <name val="Arial"/>
      <family val="2"/>
    </font>
    <font>
      <b/>
      <u/>
      <sz val="9"/>
      <color rgb="FF0033CC"/>
      <name val="Arial"/>
      <family val="2"/>
    </font>
    <font>
      <b/>
      <sz val="10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2D050"/>
        <bgColor indexed="64"/>
      </patternFill>
    </fill>
  </fills>
  <borders count="6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ashDot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4" fontId="36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4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83">
    <xf numFmtId="0" fontId="0" fillId="0" borderId="0" xfId="0"/>
    <xf numFmtId="0" fontId="0" fillId="0" borderId="0" xfId="0" applyBorder="1"/>
    <xf numFmtId="0" fontId="3" fillId="2" borderId="1" xfId="0" applyFont="1" applyFill="1" applyBorder="1" applyAlignment="1">
      <alignment horizontal="center"/>
    </xf>
    <xf numFmtId="0" fontId="0" fillId="2" borderId="1" xfId="0" applyFill="1" applyBorder="1"/>
    <xf numFmtId="0" fontId="3" fillId="2" borderId="0" xfId="0" applyFont="1" applyFill="1" applyBorder="1"/>
    <xf numFmtId="0" fontId="3" fillId="2" borderId="0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0" fillId="2" borderId="0" xfId="0" applyFill="1" applyBorder="1"/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67" fontId="3" fillId="2" borderId="0" xfId="0" applyNumberFormat="1" applyFont="1" applyFill="1" applyBorder="1" applyAlignment="1">
      <alignment horizontal="center"/>
    </xf>
    <xf numFmtId="0" fontId="0" fillId="2" borderId="4" xfId="0" applyFill="1" applyBorder="1"/>
    <xf numFmtId="0" fontId="0" fillId="2" borderId="3" xfId="0" applyFill="1" applyBorder="1" applyAlignment="1">
      <alignment horizontal="center"/>
    </xf>
    <xf numFmtId="0" fontId="0" fillId="2" borderId="3" xfId="0" applyFill="1" applyBorder="1"/>
    <xf numFmtId="0" fontId="0" fillId="2" borderId="5" xfId="0" applyFill="1" applyBorder="1"/>
    <xf numFmtId="0" fontId="0" fillId="2" borderId="6" xfId="0" applyFill="1" applyBorder="1" applyAlignment="1">
      <alignment horizontal="center"/>
    </xf>
    <xf numFmtId="0" fontId="0" fillId="2" borderId="6" xfId="0" applyFill="1" applyBorder="1"/>
    <xf numFmtId="0" fontId="0" fillId="2" borderId="0" xfId="0" applyNumberFormat="1" applyFill="1" applyBorder="1" applyAlignment="1">
      <alignment horizontal="center"/>
    </xf>
    <xf numFmtId="0" fontId="0" fillId="2" borderId="0" xfId="0" applyFill="1"/>
    <xf numFmtId="0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0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2" fontId="0" fillId="2" borderId="10" xfId="0" applyNumberFormat="1" applyFill="1" applyBorder="1" applyAlignment="1">
      <alignment horizontal="center"/>
    </xf>
    <xf numFmtId="2" fontId="0" fillId="2" borderId="6" xfId="0" applyNumberForma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7" xfId="0" applyNumberFormat="1" applyFill="1" applyBorder="1" applyAlignment="1">
      <alignment horizontal="center"/>
    </xf>
    <xf numFmtId="0" fontId="0" fillId="2" borderId="0" xfId="0" applyFill="1" applyBorder="1" applyAlignment="1">
      <alignment horizontal="right"/>
    </xf>
    <xf numFmtId="0" fontId="0" fillId="2" borderId="12" xfId="0" applyFill="1" applyBorder="1"/>
    <xf numFmtId="0" fontId="0" fillId="2" borderId="13" xfId="0" applyNumberFormat="1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3" fillId="2" borderId="7" xfId="0" applyFont="1" applyFill="1" applyBorder="1" applyAlignment="1">
      <alignment horizontal="center"/>
    </xf>
    <xf numFmtId="0" fontId="3" fillId="2" borderId="7" xfId="0" applyNumberFormat="1" applyFont="1" applyFill="1" applyBorder="1" applyAlignment="1">
      <alignment horizontal="center"/>
    </xf>
    <xf numFmtId="167" fontId="0" fillId="2" borderId="5" xfId="0" applyNumberFormat="1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0" fontId="7" fillId="2" borderId="0" xfId="0" applyFont="1" applyFill="1" applyBorder="1"/>
    <xf numFmtId="14" fontId="0" fillId="2" borderId="0" xfId="0" applyNumberFormat="1" applyFill="1" applyBorder="1"/>
    <xf numFmtId="0" fontId="0" fillId="2" borderId="2" xfId="0" applyFill="1" applyBorder="1"/>
    <xf numFmtId="0" fontId="0" fillId="2" borderId="17" xfId="0" applyFill="1" applyBorder="1"/>
    <xf numFmtId="167" fontId="0" fillId="2" borderId="6" xfId="0" applyNumberFormat="1" applyFill="1" applyBorder="1" applyAlignment="1">
      <alignment horizontal="center"/>
    </xf>
    <xf numFmtId="0" fontId="0" fillId="2" borderId="18" xfId="0" applyFill="1" applyBorder="1"/>
    <xf numFmtId="0" fontId="0" fillId="2" borderId="19" xfId="0" applyFill="1" applyBorder="1"/>
    <xf numFmtId="167" fontId="0" fillId="2" borderId="1" xfId="0" applyNumberFormat="1" applyFill="1" applyBorder="1" applyAlignment="1">
      <alignment horizontal="center"/>
    </xf>
    <xf numFmtId="167" fontId="0" fillId="2" borderId="17" xfId="0" applyNumberFormat="1" applyFill="1" applyBorder="1" applyAlignment="1">
      <alignment horizontal="center"/>
    </xf>
    <xf numFmtId="167" fontId="0" fillId="2" borderId="4" xfId="0" applyNumberFormat="1" applyFill="1" applyBorder="1" applyAlignment="1">
      <alignment horizontal="center"/>
    </xf>
    <xf numFmtId="167" fontId="0" fillId="2" borderId="7" xfId="0" applyNumberFormat="1" applyFill="1" applyBorder="1" applyAlignment="1">
      <alignment horizontal="center"/>
    </xf>
    <xf numFmtId="167" fontId="0" fillId="2" borderId="0" xfId="0" applyNumberFormat="1" applyFill="1" applyBorder="1" applyAlignment="1">
      <alignment horizontal="center"/>
    </xf>
    <xf numFmtId="167" fontId="0" fillId="2" borderId="3" xfId="0" applyNumberForma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3" borderId="0" xfId="0" applyFill="1" applyBorder="1"/>
    <xf numFmtId="167" fontId="0" fillId="3" borderId="0" xfId="0" applyNumberFormat="1" applyFill="1" applyBorder="1" applyAlignment="1">
      <alignment horizontal="center"/>
    </xf>
    <xf numFmtId="167" fontId="0" fillId="3" borderId="7" xfId="0" applyNumberFormat="1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9" fillId="2" borderId="0" xfId="0" applyNumberFormat="1" applyFont="1" applyFill="1" applyBorder="1" applyAlignment="1"/>
    <xf numFmtId="0" fontId="2" fillId="2" borderId="0" xfId="0" applyFont="1" applyFill="1" applyBorder="1" applyAlignment="1">
      <alignment horizontal="center"/>
    </xf>
    <xf numFmtId="2" fontId="0" fillId="2" borderId="4" xfId="0" applyNumberForma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5" fillId="2" borderId="0" xfId="0" applyFont="1" applyFill="1" applyBorder="1"/>
    <xf numFmtId="0" fontId="0" fillId="2" borderId="0" xfId="0" applyFill="1" applyBorder="1" applyAlignment="1">
      <alignment horizontal="left"/>
    </xf>
    <xf numFmtId="0" fontId="0" fillId="2" borderId="20" xfId="0" applyFill="1" applyBorder="1" applyAlignment="1">
      <alignment horizontal="center"/>
    </xf>
    <xf numFmtId="0" fontId="0" fillId="0" borderId="4" xfId="0" applyBorder="1"/>
    <xf numFmtId="0" fontId="0" fillId="2" borderId="8" xfId="0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19" xfId="0" applyFill="1" applyBorder="1" applyAlignment="1">
      <alignment horizontal="center"/>
    </xf>
    <xf numFmtId="0" fontId="0" fillId="2" borderId="21" xfId="0" applyFill="1" applyBorder="1"/>
    <xf numFmtId="0" fontId="0" fillId="2" borderId="21" xfId="0" applyFill="1" applyBorder="1" applyAlignment="1">
      <alignment horizontal="center"/>
    </xf>
    <xf numFmtId="169" fontId="0" fillId="2" borderId="7" xfId="0" applyNumberFormat="1" applyFill="1" applyBorder="1" applyAlignment="1">
      <alignment horizontal="center"/>
    </xf>
    <xf numFmtId="167" fontId="0" fillId="2" borderId="21" xfId="0" applyNumberFormat="1" applyFill="1" applyBorder="1" applyAlignment="1">
      <alignment horizontal="center"/>
    </xf>
    <xf numFmtId="0" fontId="0" fillId="3" borderId="1" xfId="0" applyFill="1" applyBorder="1"/>
    <xf numFmtId="167" fontId="0" fillId="3" borderId="1" xfId="0" applyNumberForma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9" fontId="0" fillId="2" borderId="0" xfId="0" applyNumberFormat="1" applyFill="1" applyBorder="1" applyAlignment="1">
      <alignment horizontal="center"/>
    </xf>
    <xf numFmtId="166" fontId="0" fillId="2" borderId="0" xfId="4" applyFont="1" applyFill="1" applyBorder="1" applyAlignment="1">
      <alignment horizontal="right"/>
    </xf>
    <xf numFmtId="9" fontId="1" fillId="2" borderId="0" xfId="0" applyNumberFormat="1" applyFont="1" applyFill="1" applyBorder="1" applyAlignment="1">
      <alignment horizontal="center"/>
    </xf>
    <xf numFmtId="0" fontId="1" fillId="2" borderId="0" xfId="0" applyFont="1" applyFill="1" applyBorder="1"/>
    <xf numFmtId="0" fontId="12" fillId="2" borderId="13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2" fillId="2" borderId="0" xfId="0" applyFont="1" applyFill="1" applyAlignment="1">
      <alignment horizontal="center"/>
    </xf>
    <xf numFmtId="0" fontId="12" fillId="2" borderId="0" xfId="0" applyNumberFormat="1" applyFont="1" applyFill="1" applyBorder="1" applyAlignment="1">
      <alignment horizontal="center"/>
    </xf>
    <xf numFmtId="167" fontId="12" fillId="2" borderId="0" xfId="0" applyNumberFormat="1" applyFont="1" applyFill="1" applyBorder="1" applyAlignment="1">
      <alignment horizontal="center"/>
    </xf>
    <xf numFmtId="0" fontId="4" fillId="2" borderId="0" xfId="0" applyFont="1" applyFill="1" applyBorder="1"/>
    <xf numFmtId="0" fontId="3" fillId="2" borderId="7" xfId="0" applyFont="1" applyFill="1" applyBorder="1"/>
    <xf numFmtId="0" fontId="4" fillId="2" borderId="7" xfId="0" applyFont="1" applyFill="1" applyBorder="1" applyAlignment="1">
      <alignment horizontal="center"/>
    </xf>
    <xf numFmtId="2" fontId="0" fillId="2" borderId="0" xfId="0" applyNumberFormat="1" applyFill="1" applyBorder="1"/>
    <xf numFmtId="2" fontId="0" fillId="0" borderId="4" xfId="0" applyNumberFormat="1" applyBorder="1"/>
    <xf numFmtId="2" fontId="9" fillId="2" borderId="0" xfId="0" applyNumberFormat="1" applyFont="1" applyFill="1" applyBorder="1" applyAlignment="1">
      <alignment horizontal="center"/>
    </xf>
    <xf numFmtId="167" fontId="13" fillId="2" borderId="0" xfId="0" applyNumberFormat="1" applyFont="1" applyFill="1" applyBorder="1" applyAlignment="1">
      <alignment horizontal="center"/>
    </xf>
    <xf numFmtId="2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center"/>
    </xf>
    <xf numFmtId="2" fontId="5" fillId="2" borderId="0" xfId="0" applyNumberFormat="1" applyFont="1" applyFill="1" applyBorder="1" applyAlignment="1">
      <alignment horizontal="center"/>
    </xf>
    <xf numFmtId="2" fontId="3" fillId="2" borderId="0" xfId="0" applyNumberFormat="1" applyFont="1" applyFill="1" applyBorder="1" applyAlignment="1">
      <alignment horizontal="center"/>
    </xf>
    <xf numFmtId="171" fontId="7" fillId="2" borderId="0" xfId="0" applyNumberFormat="1" applyFont="1" applyFill="1" applyBorder="1" applyAlignment="1">
      <alignment horizontal="center"/>
    </xf>
    <xf numFmtId="167" fontId="7" fillId="2" borderId="0" xfId="0" applyNumberFormat="1" applyFont="1" applyFill="1" applyBorder="1" applyAlignment="1">
      <alignment horizontal="left"/>
    </xf>
    <xf numFmtId="0" fontId="12" fillId="2" borderId="7" xfId="0" applyNumberFormat="1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right"/>
    </xf>
    <xf numFmtId="2" fontId="3" fillId="9" borderId="6" xfId="0" applyNumberFormat="1" applyFont="1" applyFill="1" applyBorder="1" applyAlignment="1">
      <alignment horizontal="center"/>
    </xf>
    <xf numFmtId="2" fontId="0" fillId="0" borderId="0" xfId="0" applyNumberFormat="1" applyBorder="1"/>
    <xf numFmtId="0" fontId="0" fillId="0" borderId="6" xfId="0" applyBorder="1"/>
    <xf numFmtId="172" fontId="0" fillId="4" borderId="6" xfId="0" applyNumberFormat="1" applyFill="1" applyBorder="1" applyProtection="1">
      <protection locked="0"/>
    </xf>
    <xf numFmtId="0" fontId="2" fillId="0" borderId="6" xfId="0" applyFont="1" applyBorder="1"/>
    <xf numFmtId="0" fontId="0" fillId="0" borderId="6" xfId="0" applyBorder="1" applyAlignment="1">
      <alignment horizontal="center"/>
    </xf>
    <xf numFmtId="1" fontId="0" fillId="9" borderId="6" xfId="0" applyNumberFormat="1" applyFill="1" applyBorder="1" applyProtection="1">
      <protection locked="0"/>
    </xf>
    <xf numFmtId="172" fontId="0" fillId="9" borderId="6" xfId="0" applyNumberFormat="1" applyFill="1" applyBorder="1" applyProtection="1">
      <protection locked="0"/>
    </xf>
    <xf numFmtId="0" fontId="5" fillId="0" borderId="6" xfId="0" applyFont="1" applyBorder="1"/>
    <xf numFmtId="1" fontId="5" fillId="9" borderId="6" xfId="0" applyNumberFormat="1" applyFont="1" applyFill="1" applyBorder="1" applyProtection="1">
      <protection locked="0"/>
    </xf>
    <xf numFmtId="0" fontId="4" fillId="0" borderId="6" xfId="0" applyFont="1" applyBorder="1"/>
    <xf numFmtId="2" fontId="4" fillId="0" borderId="6" xfId="0" applyNumberFormat="1" applyFont="1" applyBorder="1"/>
    <xf numFmtId="0" fontId="0" fillId="9" borderId="0" xfId="0" applyFill="1" applyBorder="1"/>
    <xf numFmtId="0" fontId="0" fillId="9" borderId="15" xfId="0" applyFill="1" applyBorder="1"/>
    <xf numFmtId="0" fontId="0" fillId="9" borderId="16" xfId="0" applyFill="1" applyBorder="1"/>
    <xf numFmtId="0" fontId="0" fillId="9" borderId="22" xfId="0" applyFill="1" applyBorder="1"/>
    <xf numFmtId="172" fontId="0" fillId="9" borderId="20" xfId="0" applyNumberFormat="1" applyFill="1" applyBorder="1" applyProtection="1">
      <protection locked="0"/>
    </xf>
    <xf numFmtId="1" fontId="0" fillId="9" borderId="11" xfId="0" applyNumberFormat="1" applyFill="1" applyBorder="1" applyProtection="1">
      <protection locked="0"/>
    </xf>
    <xf numFmtId="1" fontId="0" fillId="9" borderId="4" xfId="0" applyNumberFormat="1" applyFill="1" applyBorder="1" applyProtection="1">
      <protection locked="0"/>
    </xf>
    <xf numFmtId="2" fontId="4" fillId="0" borderId="20" xfId="0" applyNumberFormat="1" applyFont="1" applyBorder="1"/>
    <xf numFmtId="2" fontId="4" fillId="0" borderId="17" xfId="0" applyNumberFormat="1" applyFont="1" applyBorder="1"/>
    <xf numFmtId="0" fontId="3" fillId="0" borderId="6" xfId="0" applyFont="1" applyBorder="1"/>
    <xf numFmtId="172" fontId="3" fillId="4" borderId="6" xfId="0" applyNumberFormat="1" applyFont="1" applyFill="1" applyBorder="1" applyProtection="1">
      <protection locked="0"/>
    </xf>
    <xf numFmtId="0" fontId="3" fillId="0" borderId="6" xfId="0" applyFont="1" applyBorder="1" applyAlignment="1">
      <alignment horizontal="center"/>
    </xf>
    <xf numFmtId="173" fontId="3" fillId="0" borderId="6" xfId="0" applyNumberFormat="1" applyFont="1" applyBorder="1"/>
    <xf numFmtId="1" fontId="0" fillId="0" borderId="6" xfId="0" applyNumberFormat="1" applyBorder="1" applyAlignment="1">
      <alignment horizontal="center"/>
    </xf>
    <xf numFmtId="0" fontId="9" fillId="2" borderId="0" xfId="0" applyNumberFormat="1" applyFont="1" applyFill="1" applyBorder="1" applyAlignment="1">
      <alignment horizontal="center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center"/>
    </xf>
    <xf numFmtId="1" fontId="3" fillId="9" borderId="0" xfId="0" applyNumberFormat="1" applyFont="1" applyFill="1" applyBorder="1" applyProtection="1">
      <protection locked="0"/>
    </xf>
    <xf numFmtId="172" fontId="3" fillId="9" borderId="1" xfId="0" applyNumberFormat="1" applyFont="1" applyFill="1" applyBorder="1" applyProtection="1">
      <protection locked="0"/>
    </xf>
    <xf numFmtId="1" fontId="3" fillId="9" borderId="19" xfId="0" applyNumberFormat="1" applyFont="1" applyFill="1" applyBorder="1" applyProtection="1">
      <protection locked="0"/>
    </xf>
    <xf numFmtId="1" fontId="3" fillId="9" borderId="7" xfId="0" applyNumberFormat="1" applyFont="1" applyFill="1" applyBorder="1" applyProtection="1">
      <protection locked="0"/>
    </xf>
    <xf numFmtId="1" fontId="3" fillId="9" borderId="8" xfId="0" applyNumberFormat="1" applyFont="1" applyFill="1" applyBorder="1" applyProtection="1">
      <protection locked="0"/>
    </xf>
    <xf numFmtId="1" fontId="3" fillId="9" borderId="17" xfId="0" applyNumberFormat="1" applyFont="1" applyFill="1" applyBorder="1" applyProtection="1">
      <protection locked="0"/>
    </xf>
    <xf numFmtId="1" fontId="3" fillId="9" borderId="4" xfId="0" applyNumberFormat="1" applyFont="1" applyFill="1" applyBorder="1" applyProtection="1">
      <protection locked="0"/>
    </xf>
    <xf numFmtId="172" fontId="3" fillId="9" borderId="4" xfId="0" applyNumberFormat="1" applyFont="1" applyFill="1" applyBorder="1" applyProtection="1">
      <protection locked="0"/>
    </xf>
    <xf numFmtId="173" fontId="3" fillId="9" borderId="0" xfId="0" applyNumberFormat="1" applyFont="1" applyFill="1" applyBorder="1" applyAlignment="1">
      <alignment horizontal="center"/>
    </xf>
    <xf numFmtId="0" fontId="3" fillId="9" borderId="0" xfId="0" applyFont="1" applyFill="1" applyBorder="1" applyAlignment="1">
      <alignment horizontal="center"/>
    </xf>
    <xf numFmtId="1" fontId="3" fillId="9" borderId="0" xfId="0" applyNumberFormat="1" applyFont="1" applyFill="1" applyBorder="1" applyAlignment="1" applyProtection="1">
      <alignment horizontal="center"/>
      <protection locked="0"/>
    </xf>
    <xf numFmtId="0" fontId="0" fillId="9" borderId="0" xfId="0" applyFill="1"/>
    <xf numFmtId="0" fontId="13" fillId="9" borderId="22" xfId="0" applyFont="1" applyFill="1" applyBorder="1"/>
    <xf numFmtId="0" fontId="3" fillId="9" borderId="22" xfId="0" applyFont="1" applyFill="1" applyBorder="1"/>
    <xf numFmtId="0" fontId="3" fillId="9" borderId="0" xfId="0" applyFont="1" applyFill="1" applyBorder="1"/>
    <xf numFmtId="0" fontId="3" fillId="9" borderId="0" xfId="0" applyFont="1" applyFill="1"/>
    <xf numFmtId="0" fontId="7" fillId="9" borderId="0" xfId="0" applyFont="1" applyFill="1"/>
    <xf numFmtId="16" fontId="5" fillId="9" borderId="22" xfId="0" applyNumberFormat="1" applyFont="1" applyFill="1" applyBorder="1"/>
    <xf numFmtId="0" fontId="16" fillId="9" borderId="22" xfId="0" applyFont="1" applyFill="1" applyBorder="1"/>
    <xf numFmtId="0" fontId="5" fillId="9" borderId="22" xfId="0" applyFont="1" applyFill="1" applyBorder="1"/>
    <xf numFmtId="14" fontId="0" fillId="9" borderId="0" xfId="0" applyNumberFormat="1" applyFill="1" applyBorder="1"/>
    <xf numFmtId="0" fontId="3" fillId="9" borderId="0" xfId="0" applyFont="1" applyFill="1" applyBorder="1" applyAlignment="1">
      <alignment horizontal="right"/>
    </xf>
    <xf numFmtId="14" fontId="0" fillId="9" borderId="22" xfId="0" applyNumberFormat="1" applyFill="1" applyBorder="1"/>
    <xf numFmtId="0" fontId="7" fillId="9" borderId="22" xfId="0" applyFont="1" applyFill="1" applyBorder="1"/>
    <xf numFmtId="0" fontId="3" fillId="9" borderId="22" xfId="0" applyNumberFormat="1" applyFont="1" applyFill="1" applyBorder="1" applyAlignment="1">
      <alignment horizontal="center"/>
    </xf>
    <xf numFmtId="0" fontId="12" fillId="9" borderId="22" xfId="0" applyNumberFormat="1" applyFont="1" applyFill="1" applyBorder="1" applyAlignment="1">
      <alignment horizontal="center"/>
    </xf>
    <xf numFmtId="0" fontId="4" fillId="9" borderId="0" xfId="0" applyFont="1" applyFill="1"/>
    <xf numFmtId="0" fontId="5" fillId="2" borderId="7" xfId="0" applyFont="1" applyFill="1" applyBorder="1" applyAlignment="1">
      <alignment horizontal="center"/>
    </xf>
    <xf numFmtId="0" fontId="5" fillId="2" borderId="7" xfId="0" applyFont="1" applyFill="1" applyBorder="1"/>
    <xf numFmtId="0" fontId="13" fillId="2" borderId="7" xfId="0" applyNumberFormat="1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3" fillId="2" borderId="1" xfId="0" applyNumberFormat="1" applyFont="1" applyFill="1" applyBorder="1" applyAlignment="1">
      <alignment horizontal="center"/>
    </xf>
    <xf numFmtId="0" fontId="21" fillId="2" borderId="1" xfId="0" applyNumberFormat="1" applyFont="1" applyFill="1" applyBorder="1" applyAlignment="1">
      <alignment horizontal="center"/>
    </xf>
    <xf numFmtId="0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9" borderId="0" xfId="0" applyFont="1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2" fillId="9" borderId="20" xfId="0" applyFont="1" applyFill="1" applyBorder="1" applyAlignment="1">
      <alignment horizontal="center"/>
    </xf>
    <xf numFmtId="0" fontId="5" fillId="9" borderId="0" xfId="0" applyFont="1" applyFill="1"/>
    <xf numFmtId="49" fontId="9" fillId="2" borderId="0" xfId="0" applyNumberFormat="1" applyFont="1" applyFill="1" applyBorder="1" applyAlignment="1">
      <alignment horizontal="center"/>
    </xf>
    <xf numFmtId="1" fontId="9" fillId="2" borderId="0" xfId="0" applyNumberFormat="1" applyFont="1" applyFill="1" applyBorder="1"/>
    <xf numFmtId="49" fontId="9" fillId="2" borderId="0" xfId="0" applyNumberFormat="1" applyFont="1" applyFill="1" applyBorder="1"/>
    <xf numFmtId="0" fontId="9" fillId="2" borderId="0" xfId="0" applyFont="1" applyFill="1" applyBorder="1" applyAlignment="1"/>
    <xf numFmtId="173" fontId="9" fillId="2" borderId="0" xfId="0" applyNumberFormat="1" applyFont="1" applyFill="1" applyBorder="1"/>
    <xf numFmtId="173" fontId="5" fillId="9" borderId="0" xfId="0" applyNumberFormat="1" applyFont="1" applyFill="1" applyBorder="1"/>
    <xf numFmtId="173" fontId="13" fillId="2" borderId="0" xfId="0" applyNumberFormat="1" applyFont="1" applyFill="1" applyBorder="1" applyAlignment="1">
      <alignment horizontal="center"/>
    </xf>
    <xf numFmtId="173" fontId="0" fillId="2" borderId="0" xfId="0" applyNumberFormat="1" applyFill="1" applyBorder="1" applyAlignment="1">
      <alignment horizontal="center"/>
    </xf>
    <xf numFmtId="173" fontId="12" fillId="2" borderId="0" xfId="0" applyNumberFormat="1" applyFont="1" applyFill="1" applyBorder="1" applyAlignment="1">
      <alignment horizontal="center"/>
    </xf>
    <xf numFmtId="173" fontId="5" fillId="2" borderId="0" xfId="0" applyNumberFormat="1" applyFont="1" applyFill="1" applyBorder="1" applyAlignment="1">
      <alignment horizontal="center"/>
    </xf>
    <xf numFmtId="173" fontId="0" fillId="2" borderId="0" xfId="0" applyNumberFormat="1" applyFill="1" applyBorder="1"/>
    <xf numFmtId="173" fontId="12" fillId="2" borderId="0" xfId="0" applyNumberFormat="1" applyFont="1" applyFill="1" applyBorder="1"/>
    <xf numFmtId="173" fontId="4" fillId="2" borderId="6" xfId="0" applyNumberFormat="1" applyFont="1" applyFill="1" applyBorder="1"/>
    <xf numFmtId="173" fontId="4" fillId="2" borderId="17" xfId="0" applyNumberFormat="1" applyFont="1" applyFill="1" applyBorder="1"/>
    <xf numFmtId="173" fontId="0" fillId="2" borderId="6" xfId="0" applyNumberFormat="1" applyFill="1" applyBorder="1" applyAlignment="1">
      <alignment horizontal="center"/>
    </xf>
    <xf numFmtId="169" fontId="3" fillId="10" borderId="6" xfId="0" applyNumberFormat="1" applyFont="1" applyFill="1" applyBorder="1" applyAlignment="1">
      <alignment horizontal="center"/>
    </xf>
    <xf numFmtId="169" fontId="13" fillId="2" borderId="0" xfId="0" applyNumberFormat="1" applyFont="1" applyFill="1" applyBorder="1" applyAlignment="1">
      <alignment horizontal="center"/>
    </xf>
    <xf numFmtId="1" fontId="3" fillId="10" borderId="6" xfId="0" applyNumberFormat="1" applyFont="1" applyFill="1" applyBorder="1" applyAlignment="1">
      <alignment horizontal="center"/>
    </xf>
    <xf numFmtId="1" fontId="13" fillId="2" borderId="0" xfId="0" applyNumberFormat="1" applyFont="1" applyFill="1" applyBorder="1" applyAlignment="1">
      <alignment horizontal="center"/>
    </xf>
    <xf numFmtId="1" fontId="3" fillId="10" borderId="11" xfId="0" applyNumberFormat="1" applyFont="1" applyFill="1" applyBorder="1" applyAlignment="1">
      <alignment horizontal="center"/>
    </xf>
    <xf numFmtId="1" fontId="0" fillId="10" borderId="6" xfId="0" applyNumberFormat="1" applyFill="1" applyBorder="1" applyAlignment="1">
      <alignment horizontal="center"/>
    </xf>
    <xf numFmtId="1" fontId="0" fillId="2" borderId="6" xfId="0" applyNumberFormat="1" applyFill="1" applyBorder="1" applyAlignment="1">
      <alignment horizontal="center"/>
    </xf>
    <xf numFmtId="173" fontId="7" fillId="2" borderId="0" xfId="0" applyNumberFormat="1" applyFont="1" applyFill="1" applyBorder="1"/>
    <xf numFmtId="173" fontId="5" fillId="9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1" xfId="3" applyFill="1" applyBorder="1"/>
    <xf numFmtId="0" fontId="4" fillId="2" borderId="0" xfId="3" applyFill="1" applyBorder="1"/>
    <xf numFmtId="0" fontId="4" fillId="2" borderId="3" xfId="3" applyFill="1" applyBorder="1" applyAlignment="1">
      <alignment horizontal="center"/>
    </xf>
    <xf numFmtId="0" fontId="4" fillId="2" borderId="3" xfId="3" applyFill="1" applyBorder="1"/>
    <xf numFmtId="0" fontId="4" fillId="2" borderId="6" xfId="3" applyFill="1" applyBorder="1" applyAlignment="1">
      <alignment horizontal="center"/>
    </xf>
    <xf numFmtId="0" fontId="4" fillId="2" borderId="0" xfId="3" applyNumberFormat="1" applyFill="1" applyBorder="1" applyAlignment="1">
      <alignment horizontal="center"/>
    </xf>
    <xf numFmtId="0" fontId="4" fillId="2" borderId="0" xfId="3" applyFill="1" applyBorder="1" applyAlignment="1">
      <alignment horizontal="center"/>
    </xf>
    <xf numFmtId="2" fontId="4" fillId="2" borderId="6" xfId="3" applyNumberFormat="1" applyFill="1" applyBorder="1" applyAlignment="1">
      <alignment horizontal="center"/>
    </xf>
    <xf numFmtId="0" fontId="4" fillId="2" borderId="1" xfId="3" applyFill="1" applyBorder="1" applyAlignment="1">
      <alignment horizontal="center"/>
    </xf>
    <xf numFmtId="0" fontId="4" fillId="2" borderId="0" xfId="3" applyFill="1" applyBorder="1" applyAlignment="1">
      <alignment horizontal="right"/>
    </xf>
    <xf numFmtId="2" fontId="4" fillId="2" borderId="0" xfId="3" applyNumberFormat="1" applyFill="1" applyBorder="1" applyAlignment="1">
      <alignment horizontal="center"/>
    </xf>
    <xf numFmtId="0" fontId="7" fillId="2" borderId="0" xfId="3" applyFont="1" applyFill="1" applyBorder="1"/>
    <xf numFmtId="14" fontId="4" fillId="2" borderId="0" xfId="3" applyNumberFormat="1" applyFill="1" applyBorder="1"/>
    <xf numFmtId="0" fontId="4" fillId="2" borderId="2" xfId="3" applyFill="1" applyBorder="1"/>
    <xf numFmtId="0" fontId="4" fillId="2" borderId="18" xfId="3" applyFill="1" applyBorder="1"/>
    <xf numFmtId="167" fontId="4" fillId="2" borderId="0" xfId="3" applyNumberFormat="1" applyFill="1" applyBorder="1" applyAlignment="1">
      <alignment horizontal="center"/>
    </xf>
    <xf numFmtId="0" fontId="4" fillId="2" borderId="2" xfId="3" applyFill="1" applyBorder="1" applyAlignment="1">
      <alignment horizontal="center"/>
    </xf>
    <xf numFmtId="0" fontId="5" fillId="2" borderId="0" xfId="3" applyFont="1" applyFill="1" applyBorder="1"/>
    <xf numFmtId="0" fontId="4" fillId="2" borderId="0" xfId="3" applyFont="1" applyFill="1" applyBorder="1"/>
    <xf numFmtId="0" fontId="5" fillId="2" borderId="0" xfId="3" applyFont="1" applyFill="1" applyBorder="1" applyAlignment="1">
      <alignment horizontal="center"/>
    </xf>
    <xf numFmtId="0" fontId="5" fillId="2" borderId="1" xfId="3" applyFont="1" applyFill="1" applyBorder="1" applyAlignment="1">
      <alignment horizontal="center"/>
    </xf>
    <xf numFmtId="173" fontId="5" fillId="2" borderId="0" xfId="3" applyNumberFormat="1" applyFont="1" applyFill="1" applyBorder="1" applyAlignment="1">
      <alignment horizontal="center"/>
    </xf>
    <xf numFmtId="0" fontId="4" fillId="2" borderId="0" xfId="3" applyFont="1" applyFill="1" applyBorder="1" applyAlignment="1">
      <alignment horizontal="center"/>
    </xf>
    <xf numFmtId="2" fontId="13" fillId="2" borderId="0" xfId="3" applyNumberFormat="1" applyFont="1" applyFill="1" applyBorder="1" applyAlignment="1">
      <alignment horizontal="center"/>
    </xf>
    <xf numFmtId="2" fontId="14" fillId="2" borderId="0" xfId="3" applyNumberFormat="1" applyFont="1" applyFill="1" applyBorder="1" applyAlignment="1">
      <alignment horizontal="center"/>
    </xf>
    <xf numFmtId="2" fontId="4" fillId="9" borderId="6" xfId="3" applyNumberFormat="1" applyFill="1" applyBorder="1" applyAlignment="1">
      <alignment horizontal="center"/>
    </xf>
    <xf numFmtId="2" fontId="4" fillId="2" borderId="0" xfId="3" applyNumberFormat="1" applyFont="1" applyFill="1" applyBorder="1" applyAlignment="1">
      <alignment horizontal="center"/>
    </xf>
    <xf numFmtId="2" fontId="4" fillId="2" borderId="17" xfId="3" applyNumberFormat="1" applyFill="1" applyBorder="1" applyAlignment="1">
      <alignment horizontal="center"/>
    </xf>
    <xf numFmtId="2" fontId="4" fillId="2" borderId="6" xfId="1" applyNumberFormat="1" applyFont="1" applyFill="1" applyBorder="1" applyAlignment="1">
      <alignment horizontal="center"/>
    </xf>
    <xf numFmtId="0" fontId="4" fillId="2" borderId="0" xfId="3" applyNumberFormat="1" applyFont="1" applyFill="1" applyBorder="1" applyAlignment="1">
      <alignment horizontal="center"/>
    </xf>
    <xf numFmtId="0" fontId="3" fillId="2" borderId="6" xfId="0" applyFont="1" applyFill="1" applyBorder="1"/>
    <xf numFmtId="2" fontId="3" fillId="9" borderId="0" xfId="0" applyNumberFormat="1" applyFont="1" applyFill="1" applyBorder="1" applyAlignment="1">
      <alignment horizontal="center"/>
    </xf>
    <xf numFmtId="0" fontId="0" fillId="9" borderId="0" xfId="0" applyNumberFormat="1" applyFill="1" applyBorder="1" applyAlignment="1">
      <alignment horizontal="center"/>
    </xf>
    <xf numFmtId="0" fontId="12" fillId="9" borderId="0" xfId="0" applyFont="1" applyFill="1" applyBorder="1" applyAlignment="1">
      <alignment horizontal="center"/>
    </xf>
    <xf numFmtId="167" fontId="0" fillId="9" borderId="0" xfId="0" applyNumberFormat="1" applyFill="1" applyBorder="1" applyAlignment="1">
      <alignment horizontal="center"/>
    </xf>
    <xf numFmtId="0" fontId="0" fillId="9" borderId="0" xfId="0" applyNumberFormat="1" applyFill="1" applyAlignment="1">
      <alignment horizontal="center"/>
    </xf>
    <xf numFmtId="167" fontId="0" fillId="9" borderId="0" xfId="0" applyNumberFormat="1" applyFill="1" applyAlignment="1">
      <alignment horizontal="center"/>
    </xf>
    <xf numFmtId="0" fontId="13" fillId="9" borderId="0" xfId="0" applyFont="1" applyFill="1" applyBorder="1"/>
    <xf numFmtId="0" fontId="3" fillId="9" borderId="6" xfId="0" applyFont="1" applyFill="1" applyBorder="1"/>
    <xf numFmtId="1" fontId="3" fillId="9" borderId="6" xfId="0" applyNumberFormat="1" applyFont="1" applyFill="1" applyBorder="1"/>
    <xf numFmtId="0" fontId="3" fillId="9" borderId="6" xfId="0" applyFont="1" applyFill="1" applyBorder="1" applyAlignment="1">
      <alignment horizontal="center"/>
    </xf>
    <xf numFmtId="167" fontId="0" fillId="9" borderId="22" xfId="0" applyNumberFormat="1" applyFill="1" applyBorder="1" applyAlignment="1">
      <alignment horizontal="center"/>
    </xf>
    <xf numFmtId="172" fontId="3" fillId="11" borderId="6" xfId="0" applyNumberFormat="1" applyFont="1" applyFill="1" applyBorder="1" applyProtection="1">
      <protection locked="0"/>
    </xf>
    <xf numFmtId="1" fontId="3" fillId="11" borderId="6" xfId="0" applyNumberFormat="1" applyFont="1" applyFill="1" applyBorder="1" applyProtection="1">
      <protection locked="0"/>
    </xf>
    <xf numFmtId="1" fontId="3" fillId="11" borderId="6" xfId="0" applyNumberFormat="1" applyFont="1" applyFill="1" applyBorder="1" applyAlignment="1" applyProtection="1">
      <alignment horizontal="center"/>
      <protection locked="0"/>
    </xf>
    <xf numFmtId="1" fontId="3" fillId="9" borderId="6" xfId="0" applyNumberFormat="1" applyFont="1" applyFill="1" applyBorder="1" applyAlignment="1">
      <alignment horizontal="center"/>
    </xf>
    <xf numFmtId="0" fontId="5" fillId="9" borderId="0" xfId="0" applyFont="1" applyFill="1" applyBorder="1"/>
    <xf numFmtId="167" fontId="5" fillId="9" borderId="22" xfId="0" applyNumberFormat="1" applyFont="1" applyFill="1" applyBorder="1" applyAlignment="1">
      <alignment horizontal="center"/>
    </xf>
    <xf numFmtId="1" fontId="3" fillId="9" borderId="0" xfId="0" applyNumberFormat="1" applyFont="1" applyFill="1" applyBorder="1" applyAlignment="1">
      <alignment horizontal="center"/>
    </xf>
    <xf numFmtId="0" fontId="3" fillId="9" borderId="2" xfId="0" applyFont="1" applyFill="1" applyBorder="1"/>
    <xf numFmtId="173" fontId="3" fillId="9" borderId="6" xfId="0" applyNumberFormat="1" applyFont="1" applyFill="1" applyBorder="1" applyAlignment="1">
      <alignment horizontal="center"/>
    </xf>
    <xf numFmtId="172" fontId="3" fillId="11" borderId="4" xfId="0" applyNumberFormat="1" applyFont="1" applyFill="1" applyBorder="1" applyProtection="1">
      <protection locked="0"/>
    </xf>
    <xf numFmtId="0" fontId="0" fillId="9" borderId="12" xfId="0" applyFill="1" applyBorder="1"/>
    <xf numFmtId="0" fontId="10" fillId="9" borderId="13" xfId="0" applyFont="1" applyFill="1" applyBorder="1"/>
    <xf numFmtId="0" fontId="0" fillId="9" borderId="13" xfId="0" applyFill="1" applyBorder="1"/>
    <xf numFmtId="0" fontId="4" fillId="9" borderId="13" xfId="0" applyFont="1" applyFill="1" applyBorder="1"/>
    <xf numFmtId="0" fontId="0" fillId="9" borderId="14" xfId="0" applyFill="1" applyBorder="1"/>
    <xf numFmtId="0" fontId="6" fillId="9" borderId="15" xfId="0" applyFont="1" applyFill="1" applyBorder="1"/>
    <xf numFmtId="0" fontId="6" fillId="9" borderId="0" xfId="0" applyFont="1" applyFill="1" applyBorder="1"/>
    <xf numFmtId="0" fontId="0" fillId="9" borderId="16" xfId="0" applyFill="1" applyBorder="1" applyProtection="1">
      <protection locked="0"/>
    </xf>
    <xf numFmtId="0" fontId="0" fillId="9" borderId="23" xfId="0" applyFill="1" applyBorder="1"/>
    <xf numFmtId="0" fontId="0" fillId="9" borderId="24" xfId="0" applyFill="1" applyBorder="1"/>
    <xf numFmtId="0" fontId="25" fillId="9" borderId="0" xfId="0" applyFont="1" applyFill="1" applyProtection="1"/>
    <xf numFmtId="0" fontId="25" fillId="9" borderId="8" xfId="0" applyFont="1" applyFill="1" applyBorder="1" applyProtection="1"/>
    <xf numFmtId="0" fontId="26" fillId="9" borderId="0" xfId="2" applyFont="1" applyFill="1" applyAlignment="1" applyProtection="1"/>
    <xf numFmtId="0" fontId="4" fillId="9" borderId="0" xfId="0" applyFont="1" applyFill="1" applyBorder="1" applyAlignment="1">
      <alignment horizontal="center"/>
    </xf>
    <xf numFmtId="0" fontId="0" fillId="9" borderId="0" xfId="0" applyFill="1" applyAlignment="1">
      <alignment horizontal="center"/>
    </xf>
    <xf numFmtId="0" fontId="0" fillId="9" borderId="25" xfId="0" applyFill="1" applyBorder="1" applyAlignment="1">
      <alignment horizontal="center"/>
    </xf>
    <xf numFmtId="0" fontId="0" fillId="9" borderId="26" xfId="0" applyNumberFormat="1" applyFill="1" applyBorder="1" applyAlignment="1">
      <alignment horizontal="center"/>
    </xf>
    <xf numFmtId="0" fontId="0" fillId="9" borderId="0" xfId="0" applyFill="1" applyAlignment="1">
      <alignment horizontal="right"/>
    </xf>
    <xf numFmtId="0" fontId="0" fillId="9" borderId="27" xfId="0" applyFill="1" applyBorder="1" applyAlignment="1">
      <alignment horizontal="center"/>
    </xf>
    <xf numFmtId="0" fontId="0" fillId="9" borderId="28" xfId="0" applyFill="1" applyBorder="1" applyAlignment="1">
      <alignment horizontal="center"/>
    </xf>
    <xf numFmtId="0" fontId="0" fillId="9" borderId="29" xfId="0" applyFill="1" applyBorder="1" applyAlignment="1">
      <alignment horizontal="center"/>
    </xf>
    <xf numFmtId="0" fontId="0" fillId="9" borderId="23" xfId="0" applyFill="1" applyBorder="1" applyAlignment="1">
      <alignment horizontal="center"/>
    </xf>
    <xf numFmtId="0" fontId="3" fillId="9" borderId="13" xfId="0" applyFont="1" applyFill="1" applyBorder="1" applyAlignment="1">
      <alignment horizontal="right"/>
    </xf>
    <xf numFmtId="0" fontId="0" fillId="9" borderId="30" xfId="0" applyFill="1" applyBorder="1" applyAlignment="1">
      <alignment horizontal="center"/>
    </xf>
    <xf numFmtId="16" fontId="0" fillId="11" borderId="31" xfId="0" applyNumberFormat="1" applyFill="1" applyBorder="1" applyAlignment="1" applyProtection="1">
      <alignment vertical="top" wrapText="1"/>
      <protection locked="0"/>
    </xf>
    <xf numFmtId="16" fontId="0" fillId="11" borderId="32" xfId="0" applyNumberFormat="1" applyFill="1" applyBorder="1" applyProtection="1">
      <protection locked="0"/>
    </xf>
    <xf numFmtId="16" fontId="0" fillId="11" borderId="31" xfId="0" applyNumberFormat="1" applyFill="1" applyBorder="1" applyProtection="1">
      <protection locked="0"/>
    </xf>
    <xf numFmtId="2" fontId="0" fillId="11" borderId="11" xfId="0" applyNumberFormat="1" applyFill="1" applyBorder="1" applyAlignment="1" applyProtection="1">
      <alignment horizontal="center"/>
      <protection locked="0"/>
    </xf>
    <xf numFmtId="0" fontId="9" fillId="9" borderId="0" xfId="0" applyFont="1" applyFill="1"/>
    <xf numFmtId="2" fontId="9" fillId="9" borderId="0" xfId="0" applyNumberFormat="1" applyFont="1" applyFill="1"/>
    <xf numFmtId="0" fontId="9" fillId="9" borderId="6" xfId="0" applyFont="1" applyFill="1" applyBorder="1"/>
    <xf numFmtId="0" fontId="9" fillId="9" borderId="22" xfId="0" applyFont="1" applyFill="1" applyBorder="1"/>
    <xf numFmtId="0" fontId="9" fillId="9" borderId="22" xfId="0" applyFont="1" applyFill="1" applyBorder="1" applyAlignment="1">
      <alignment horizontal="center"/>
    </xf>
    <xf numFmtId="0" fontId="9" fillId="9" borderId="22" xfId="0" applyFont="1" applyFill="1" applyBorder="1" applyAlignment="1">
      <alignment horizontal="right"/>
    </xf>
    <xf numFmtId="0" fontId="9" fillId="9" borderId="0" xfId="0" applyNumberFormat="1" applyFont="1" applyFill="1" applyAlignment="1">
      <alignment horizontal="center"/>
    </xf>
    <xf numFmtId="0" fontId="9" fillId="9" borderId="0" xfId="0" applyFont="1" applyFill="1" applyAlignment="1">
      <alignment horizontal="left"/>
    </xf>
    <xf numFmtId="0" fontId="9" fillId="9" borderId="0" xfId="0" applyFont="1" applyFill="1" applyAlignment="1">
      <alignment horizontal="center"/>
    </xf>
    <xf numFmtId="2" fontId="4" fillId="9" borderId="0" xfId="0" applyNumberFormat="1" applyFont="1" applyFill="1"/>
    <xf numFmtId="0" fontId="4" fillId="9" borderId="0" xfId="0" applyFont="1" applyFill="1" applyAlignment="1">
      <alignment horizontal="center"/>
    </xf>
    <xf numFmtId="0" fontId="4" fillId="9" borderId="0" xfId="0" applyNumberFormat="1" applyFont="1" applyFill="1"/>
    <xf numFmtId="2" fontId="9" fillId="10" borderId="27" xfId="0" applyNumberFormat="1" applyFont="1" applyFill="1" applyBorder="1"/>
    <xf numFmtId="0" fontId="9" fillId="10" borderId="33" xfId="0" applyFont="1" applyFill="1" applyBorder="1"/>
    <xf numFmtId="0" fontId="9" fillId="10" borderId="34" xfId="0" applyFont="1" applyFill="1" applyBorder="1"/>
    <xf numFmtId="0" fontId="25" fillId="9" borderId="0" xfId="0" applyFont="1" applyFill="1" applyBorder="1" applyProtection="1"/>
    <xf numFmtId="0" fontId="0" fillId="9" borderId="0" xfId="0" applyFill="1" applyProtection="1"/>
    <xf numFmtId="0" fontId="25" fillId="9" borderId="0" xfId="0" applyFont="1" applyFill="1" applyBorder="1" applyAlignment="1" applyProtection="1">
      <alignment horizontal="left"/>
    </xf>
    <xf numFmtId="0" fontId="19" fillId="9" borderId="0" xfId="0" applyFont="1" applyFill="1" applyProtection="1"/>
    <xf numFmtId="2" fontId="25" fillId="9" borderId="6" xfId="0" applyNumberFormat="1" applyFont="1" applyFill="1" applyBorder="1" applyProtection="1"/>
    <xf numFmtId="0" fontId="0" fillId="9" borderId="6" xfId="0" applyFill="1" applyBorder="1" applyProtection="1"/>
    <xf numFmtId="0" fontId="4" fillId="9" borderId="0" xfId="0" applyFont="1" applyFill="1" applyBorder="1" applyProtection="1"/>
    <xf numFmtId="0" fontId="25" fillId="9" borderId="0" xfId="0" applyFont="1" applyFill="1" applyBorder="1" applyAlignment="1" applyProtection="1">
      <alignment horizontal="right"/>
    </xf>
    <xf numFmtId="0" fontId="25" fillId="9" borderId="6" xfId="0" applyFont="1" applyFill="1" applyBorder="1" applyAlignment="1" applyProtection="1">
      <alignment horizontal="center"/>
    </xf>
    <xf numFmtId="0" fontId="25" fillId="9" borderId="6" xfId="0" applyFont="1" applyFill="1" applyBorder="1" applyProtection="1"/>
    <xf numFmtId="2" fontId="25" fillId="9" borderId="4" xfId="0" applyNumberFormat="1" applyFont="1" applyFill="1" applyBorder="1" applyProtection="1"/>
    <xf numFmtId="0" fontId="0" fillId="9" borderId="0" xfId="0" applyFill="1" applyAlignment="1" applyProtection="1">
      <alignment horizontal="right"/>
    </xf>
    <xf numFmtId="9" fontId="25" fillId="9" borderId="0" xfId="0" applyNumberFormat="1" applyFont="1" applyFill="1" applyBorder="1" applyAlignment="1" applyProtection="1">
      <alignment horizontal="left"/>
    </xf>
    <xf numFmtId="2" fontId="25" fillId="9" borderId="0" xfId="0" applyNumberFormat="1" applyFont="1" applyFill="1" applyBorder="1" applyProtection="1"/>
    <xf numFmtId="2" fontId="27" fillId="9" borderId="0" xfId="0" applyNumberFormat="1" applyFont="1" applyFill="1" applyBorder="1" applyAlignment="1" applyProtection="1">
      <alignment horizontal="right"/>
    </xf>
    <xf numFmtId="0" fontId="25" fillId="9" borderId="0" xfId="0" applyFont="1" applyFill="1" applyBorder="1" applyAlignment="1" applyProtection="1">
      <alignment horizontal="center"/>
    </xf>
    <xf numFmtId="2" fontId="25" fillId="9" borderId="11" xfId="0" applyNumberFormat="1" applyFont="1" applyFill="1" applyBorder="1" applyProtection="1"/>
    <xf numFmtId="165" fontId="25" fillId="9" borderId="0" xfId="0" applyNumberFormat="1" applyFont="1" applyFill="1" applyBorder="1" applyProtection="1"/>
    <xf numFmtId="2" fontId="25" fillId="9" borderId="0" xfId="0" applyNumberFormat="1" applyFont="1" applyFill="1" applyProtection="1"/>
    <xf numFmtId="174" fontId="25" fillId="9" borderId="6" xfId="0" applyNumberFormat="1" applyFont="1" applyFill="1" applyBorder="1" applyAlignment="1" applyProtection="1">
      <alignment horizontal="right"/>
    </xf>
    <xf numFmtId="2" fontId="25" fillId="9" borderId="3" xfId="0" applyNumberFormat="1" applyFont="1" applyFill="1" applyBorder="1" applyProtection="1"/>
    <xf numFmtId="16" fontId="25" fillId="9" borderId="0" xfId="0" applyNumberFormat="1" applyFont="1" applyFill="1" applyBorder="1" applyAlignment="1" applyProtection="1">
      <alignment horizontal="right"/>
    </xf>
    <xf numFmtId="2" fontId="25" fillId="9" borderId="27" xfId="0" applyNumberFormat="1" applyFont="1" applyFill="1" applyBorder="1" applyProtection="1"/>
    <xf numFmtId="2" fontId="25" fillId="9" borderId="6" xfId="0" applyNumberFormat="1" applyFont="1" applyFill="1" applyBorder="1" applyAlignment="1" applyProtection="1">
      <alignment horizontal="right"/>
    </xf>
    <xf numFmtId="173" fontId="25" fillId="9" borderId="6" xfId="0" applyNumberFormat="1" applyFont="1" applyFill="1" applyBorder="1" applyProtection="1"/>
    <xf numFmtId="2" fontId="25" fillId="9" borderId="19" xfId="0" applyNumberFormat="1" applyFont="1" applyFill="1" applyBorder="1" applyProtection="1"/>
    <xf numFmtId="0" fontId="15" fillId="9" borderId="0" xfId="0" applyFont="1" applyFill="1" applyProtection="1"/>
    <xf numFmtId="2" fontId="25" fillId="11" borderId="6" xfId="0" applyNumberFormat="1" applyFont="1" applyFill="1" applyBorder="1" applyAlignment="1" applyProtection="1">
      <alignment horizontal="right"/>
      <protection locked="0"/>
    </xf>
    <xf numFmtId="170" fontId="0" fillId="11" borderId="6" xfId="0" applyNumberFormat="1" applyFill="1" applyBorder="1" applyAlignment="1" applyProtection="1">
      <alignment horizontal="right"/>
      <protection locked="0"/>
    </xf>
    <xf numFmtId="173" fontId="0" fillId="11" borderId="6" xfId="0" applyNumberFormat="1" applyFill="1" applyBorder="1" applyAlignment="1" applyProtection="1">
      <alignment horizontal="right"/>
      <protection locked="0"/>
    </xf>
    <xf numFmtId="0" fontId="25" fillId="11" borderId="6" xfId="0" applyFont="1" applyFill="1" applyBorder="1" applyAlignment="1" applyProtection="1">
      <alignment horizontal="right"/>
      <protection locked="0"/>
    </xf>
    <xf numFmtId="2" fontId="19" fillId="10" borderId="27" xfId="0" applyNumberFormat="1" applyFont="1" applyFill="1" applyBorder="1" applyProtection="1"/>
    <xf numFmtId="2" fontId="19" fillId="10" borderId="30" xfId="0" applyNumberFormat="1" applyFont="1" applyFill="1" applyBorder="1" applyProtection="1"/>
    <xf numFmtId="0" fontId="0" fillId="12" borderId="0" xfId="0" applyFill="1"/>
    <xf numFmtId="0" fontId="0" fillId="12" borderId="0" xfId="0" applyNumberFormat="1" applyFill="1" applyAlignment="1">
      <alignment horizontal="center"/>
    </xf>
    <xf numFmtId="0" fontId="0" fillId="12" borderId="0" xfId="0" applyFill="1" applyAlignment="1">
      <alignment horizontal="center"/>
    </xf>
    <xf numFmtId="0" fontId="12" fillId="12" borderId="0" xfId="0" applyFont="1" applyFill="1" applyAlignment="1">
      <alignment horizontal="center"/>
    </xf>
    <xf numFmtId="173" fontId="0" fillId="9" borderId="0" xfId="0" applyNumberFormat="1" applyFill="1" applyBorder="1"/>
    <xf numFmtId="0" fontId="30" fillId="9" borderId="0" xfId="0" applyFont="1" applyFill="1" applyBorder="1"/>
    <xf numFmtId="0" fontId="30" fillId="9" borderId="0" xfId="0" applyFont="1" applyFill="1"/>
    <xf numFmtId="0" fontId="31" fillId="9" borderId="0" xfId="0" applyFont="1" applyFill="1"/>
    <xf numFmtId="0" fontId="31" fillId="9" borderId="0" xfId="0" applyFont="1" applyFill="1" applyBorder="1"/>
    <xf numFmtId="0" fontId="12" fillId="9" borderId="0" xfId="0" applyFont="1" applyFill="1" applyAlignment="1">
      <alignment horizontal="center"/>
    </xf>
    <xf numFmtId="168" fontId="3" fillId="10" borderId="6" xfId="0" applyNumberFormat="1" applyFont="1" applyFill="1" applyBorder="1" applyAlignment="1">
      <alignment horizontal="center"/>
    </xf>
    <xf numFmtId="173" fontId="3" fillId="10" borderId="6" xfId="0" applyNumberFormat="1" applyFont="1" applyFill="1" applyBorder="1" applyAlignment="1">
      <alignment horizontal="center"/>
    </xf>
    <xf numFmtId="1" fontId="4" fillId="10" borderId="6" xfId="3" applyNumberFormat="1" applyFill="1" applyBorder="1" applyAlignment="1">
      <alignment horizontal="center"/>
    </xf>
    <xf numFmtId="1" fontId="4" fillId="10" borderId="6" xfId="1" applyNumberFormat="1" applyFont="1" applyFill="1" applyBorder="1" applyAlignment="1">
      <alignment horizontal="center"/>
    </xf>
    <xf numFmtId="0" fontId="4" fillId="4" borderId="6" xfId="0" applyNumberFormat="1" applyFont="1" applyFill="1" applyBorder="1" applyProtection="1">
      <protection locked="0"/>
    </xf>
    <xf numFmtId="0" fontId="0" fillId="4" borderId="6" xfId="0" applyNumberFormat="1" applyFill="1" applyBorder="1" applyProtection="1">
      <protection locked="0"/>
    </xf>
    <xf numFmtId="0" fontId="0" fillId="4" borderId="6" xfId="0" applyNumberFormat="1" applyFill="1" applyBorder="1" applyAlignment="1" applyProtection="1">
      <alignment horizontal="center"/>
      <protection locked="0"/>
    </xf>
    <xf numFmtId="0" fontId="0" fillId="11" borderId="6" xfId="0" applyNumberFormat="1" applyFill="1" applyBorder="1" applyProtection="1">
      <protection locked="0"/>
    </xf>
    <xf numFmtId="0" fontId="0" fillId="9" borderId="6" xfId="0" applyNumberFormat="1" applyFill="1" applyBorder="1" applyProtection="1">
      <protection locked="0"/>
    </xf>
    <xf numFmtId="0" fontId="0" fillId="9" borderId="6" xfId="0" applyNumberFormat="1" applyFill="1" applyBorder="1" applyAlignment="1" applyProtection="1">
      <alignment horizontal="center"/>
      <protection locked="0"/>
    </xf>
    <xf numFmtId="0" fontId="4" fillId="4" borderId="4" xfId="0" applyNumberFormat="1" applyFont="1" applyFill="1" applyBorder="1" applyProtection="1">
      <protection locked="0"/>
    </xf>
    <xf numFmtId="0" fontId="3" fillId="4" borderId="6" xfId="0" applyNumberFormat="1" applyFont="1" applyFill="1" applyBorder="1" applyProtection="1">
      <protection locked="0"/>
    </xf>
    <xf numFmtId="0" fontId="3" fillId="4" borderId="6" xfId="0" applyNumberFormat="1" applyFont="1" applyFill="1" applyBorder="1" applyAlignment="1" applyProtection="1">
      <alignment horizontal="center"/>
      <protection locked="0"/>
    </xf>
    <xf numFmtId="0" fontId="3" fillId="11" borderId="6" xfId="0" applyNumberFormat="1" applyFont="1" applyFill="1" applyBorder="1" applyProtection="1">
      <protection locked="0"/>
    </xf>
    <xf numFmtId="0" fontId="3" fillId="11" borderId="6" xfId="0" applyNumberFormat="1" applyFont="1" applyFill="1" applyBorder="1" applyAlignment="1" applyProtection="1">
      <alignment horizontal="center"/>
      <protection locked="0"/>
    </xf>
    <xf numFmtId="0" fontId="3" fillId="11" borderId="4" xfId="0" applyNumberFormat="1" applyFont="1" applyFill="1" applyBorder="1" applyProtection="1">
      <protection locked="0"/>
    </xf>
    <xf numFmtId="49" fontId="9" fillId="9" borderId="7" xfId="0" applyNumberFormat="1" applyFont="1" applyFill="1" applyBorder="1" applyAlignment="1">
      <alignment horizontal="center"/>
    </xf>
    <xf numFmtId="1" fontId="3" fillId="10" borderId="6" xfId="3" applyNumberFormat="1" applyFont="1" applyFill="1" applyBorder="1" applyAlignment="1">
      <alignment horizontal="center"/>
    </xf>
    <xf numFmtId="0" fontId="3" fillId="2" borderId="2" xfId="0" applyNumberFormat="1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2" xfId="0" applyNumberFormat="1" applyFont="1" applyFill="1" applyBorder="1" applyAlignment="1">
      <alignment horizontal="center"/>
    </xf>
    <xf numFmtId="173" fontId="3" fillId="9" borderId="10" xfId="0" applyNumberFormat="1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0" fontId="32" fillId="9" borderId="0" xfId="2" applyFont="1" applyFill="1" applyBorder="1" applyAlignment="1" applyProtection="1"/>
    <xf numFmtId="0" fontId="32" fillId="9" borderId="0" xfId="2" applyFont="1" applyFill="1" applyAlignment="1" applyProtection="1"/>
    <xf numFmtId="0" fontId="33" fillId="9" borderId="0" xfId="2" applyFont="1" applyFill="1" applyAlignment="1" applyProtection="1"/>
    <xf numFmtId="0" fontId="17" fillId="9" borderId="0" xfId="2" applyFill="1" applyAlignment="1" applyProtection="1"/>
    <xf numFmtId="0" fontId="37" fillId="9" borderId="0" xfId="2" applyFont="1" applyFill="1" applyBorder="1" applyAlignment="1" applyProtection="1"/>
    <xf numFmtId="2" fontId="3" fillId="2" borderId="11" xfId="0" applyNumberFormat="1" applyFont="1" applyFill="1" applyBorder="1" applyAlignment="1">
      <alignment horizontal="center"/>
    </xf>
    <xf numFmtId="2" fontId="3" fillId="11" borderId="5" xfId="0" applyNumberFormat="1" applyFont="1" applyFill="1" applyBorder="1" applyAlignment="1" applyProtection="1">
      <alignment horizontal="center"/>
      <protection locked="0"/>
    </xf>
    <xf numFmtId="2" fontId="3" fillId="11" borderId="4" xfId="0" applyNumberFormat="1" applyFont="1" applyFill="1" applyBorder="1" applyAlignment="1" applyProtection="1">
      <alignment horizontal="center"/>
      <protection locked="0"/>
    </xf>
    <xf numFmtId="0" fontId="3" fillId="11" borderId="6" xfId="0" applyFont="1" applyFill="1" applyBorder="1" applyAlignment="1" applyProtection="1">
      <alignment horizontal="center"/>
      <protection locked="0"/>
    </xf>
    <xf numFmtId="2" fontId="3" fillId="11" borderId="6" xfId="0" applyNumberFormat="1" applyFont="1" applyFill="1" applyBorder="1" applyAlignment="1" applyProtection="1">
      <alignment horizontal="center"/>
      <protection locked="0"/>
    </xf>
    <xf numFmtId="0" fontId="3" fillId="11" borderId="10" xfId="0" applyFont="1" applyFill="1" applyBorder="1" applyAlignment="1" applyProtection="1">
      <alignment horizontal="center"/>
      <protection locked="0"/>
    </xf>
    <xf numFmtId="2" fontId="3" fillId="11" borderId="10" xfId="0" applyNumberFormat="1" applyFont="1" applyFill="1" applyBorder="1" applyAlignment="1" applyProtection="1">
      <alignment horizontal="center"/>
      <protection locked="0"/>
    </xf>
    <xf numFmtId="0" fontId="3" fillId="11" borderId="11" xfId="0" applyFont="1" applyFill="1" applyBorder="1" applyAlignment="1" applyProtection="1">
      <alignment horizontal="center"/>
      <protection locked="0"/>
    </xf>
    <xf numFmtId="2" fontId="3" fillId="11" borderId="11" xfId="0" applyNumberFormat="1" applyFont="1" applyFill="1" applyBorder="1" applyAlignment="1" applyProtection="1">
      <alignment horizontal="center"/>
      <protection locked="0"/>
    </xf>
    <xf numFmtId="0" fontId="0" fillId="0" borderId="6" xfId="0" applyBorder="1" applyAlignment="1">
      <alignment horizontal="right"/>
    </xf>
    <xf numFmtId="49" fontId="4" fillId="9" borderId="7" xfId="0" applyNumberFormat="1" applyFont="1" applyFill="1" applyBorder="1" applyAlignment="1">
      <alignment horizontal="left"/>
    </xf>
    <xf numFmtId="0" fontId="4" fillId="9" borderId="7" xfId="0" applyFont="1" applyFill="1" applyBorder="1"/>
    <xf numFmtId="0" fontId="2" fillId="9" borderId="0" xfId="0" applyFont="1" applyFill="1" applyAlignment="1">
      <alignment horizontal="center" vertical="top" wrapText="1"/>
    </xf>
    <xf numFmtId="2" fontId="4" fillId="9" borderId="7" xfId="0" applyNumberFormat="1" applyFont="1" applyFill="1" applyBorder="1" applyAlignment="1">
      <alignment horizontal="center" vertical="top" wrapText="1"/>
    </xf>
    <xf numFmtId="0" fontId="4" fillId="9" borderId="20" xfId="0" applyFont="1" applyFill="1" applyBorder="1"/>
    <xf numFmtId="0" fontId="3" fillId="9" borderId="20" xfId="0" applyFont="1" applyFill="1" applyBorder="1"/>
    <xf numFmtId="0" fontId="3" fillId="9" borderId="20" xfId="0" applyFont="1" applyFill="1" applyBorder="1" applyAlignment="1">
      <alignment horizontal="left" wrapText="1"/>
    </xf>
    <xf numFmtId="0" fontId="3" fillId="9" borderId="18" xfId="0" applyFont="1" applyFill="1" applyBorder="1"/>
    <xf numFmtId="0" fontId="3" fillId="9" borderId="3" xfId="0" applyFont="1" applyFill="1" applyBorder="1"/>
    <xf numFmtId="0" fontId="4" fillId="9" borderId="11" xfId="0" applyFont="1" applyFill="1" applyBorder="1" applyAlignment="1">
      <alignment horizontal="center"/>
    </xf>
    <xf numFmtId="0" fontId="4" fillId="9" borderId="6" xfId="0" applyFont="1" applyFill="1" applyBorder="1"/>
    <xf numFmtId="0" fontId="3" fillId="9" borderId="11" xfId="0" applyFont="1" applyFill="1" applyBorder="1" applyAlignment="1">
      <alignment horizontal="center"/>
    </xf>
    <xf numFmtId="0" fontId="3" fillId="9" borderId="11" xfId="0" applyFont="1" applyFill="1" applyBorder="1" applyAlignment="1">
      <alignment horizontal="left" wrapText="1"/>
    </xf>
    <xf numFmtId="0" fontId="3" fillId="9" borderId="10" xfId="0" applyFont="1" applyFill="1" applyBorder="1" applyAlignment="1"/>
    <xf numFmtId="0" fontId="3" fillId="9" borderId="11" xfId="0" applyFont="1" applyFill="1" applyBorder="1" applyAlignment="1">
      <alignment wrapText="1"/>
    </xf>
    <xf numFmtId="0" fontId="3" fillId="9" borderId="10" xfId="0" applyFont="1" applyFill="1" applyBorder="1"/>
    <xf numFmtId="0" fontId="3" fillId="9" borderId="11" xfId="0" applyFont="1" applyFill="1" applyBorder="1"/>
    <xf numFmtId="0" fontId="4" fillId="9" borderId="6" xfId="2" applyNumberFormat="1" applyFont="1" applyFill="1" applyBorder="1" applyAlignment="1" applyProtection="1">
      <alignment horizontal="center"/>
    </xf>
    <xf numFmtId="0" fontId="4" fillId="9" borderId="6" xfId="0" applyFont="1" applyFill="1" applyBorder="1" applyAlignment="1">
      <alignment horizontal="center"/>
    </xf>
    <xf numFmtId="2" fontId="4" fillId="9" borderId="8" xfId="0" applyNumberFormat="1" applyFont="1" applyFill="1" applyBorder="1" applyAlignment="1">
      <alignment horizontal="center"/>
    </xf>
    <xf numFmtId="2" fontId="0" fillId="9" borderId="6" xfId="0" applyNumberFormat="1" applyFill="1" applyBorder="1" applyAlignment="1">
      <alignment horizontal="center"/>
    </xf>
    <xf numFmtId="2" fontId="4" fillId="9" borderId="6" xfId="0" applyNumberFormat="1" applyFont="1" applyFill="1" applyBorder="1" applyAlignment="1">
      <alignment horizontal="center"/>
    </xf>
    <xf numFmtId="2" fontId="4" fillId="9" borderId="17" xfId="0" applyNumberFormat="1" applyFont="1" applyFill="1" applyBorder="1"/>
    <xf numFmtId="2" fontId="5" fillId="9" borderId="4" xfId="0" applyNumberFormat="1" applyFont="1" applyFill="1" applyBorder="1"/>
    <xf numFmtId="2" fontId="4" fillId="9" borderId="0" xfId="0" applyNumberFormat="1" applyFont="1" applyFill="1" applyBorder="1"/>
    <xf numFmtId="0" fontId="4" fillId="9" borderId="4" xfId="0" applyFont="1" applyFill="1" applyBorder="1"/>
    <xf numFmtId="0" fontId="0" fillId="9" borderId="6" xfId="0" applyFill="1" applyBorder="1"/>
    <xf numFmtId="2" fontId="4" fillId="9" borderId="34" xfId="0" applyNumberFormat="1" applyFont="1" applyFill="1" applyBorder="1"/>
    <xf numFmtId="1" fontId="3" fillId="9" borderId="11" xfId="0" applyNumberFormat="1" applyFont="1" applyFill="1" applyBorder="1" applyAlignment="1" applyProtection="1">
      <alignment horizontal="center"/>
      <protection locked="0"/>
    </xf>
    <xf numFmtId="1" fontId="3" fillId="9" borderId="6" xfId="0" applyNumberFormat="1" applyFont="1" applyFill="1" applyBorder="1" applyAlignment="1" applyProtection="1">
      <alignment horizontal="center"/>
      <protection locked="0"/>
    </xf>
    <xf numFmtId="0" fontId="5" fillId="0" borderId="6" xfId="0" applyFont="1" applyBorder="1" applyProtection="1"/>
    <xf numFmtId="1" fontId="5" fillId="9" borderId="6" xfId="0" applyNumberFormat="1" applyFont="1" applyFill="1" applyBorder="1" applyProtection="1"/>
    <xf numFmtId="0" fontId="0" fillId="9" borderId="6" xfId="0" applyNumberFormat="1" applyFill="1" applyBorder="1" applyProtection="1"/>
    <xf numFmtId="0" fontId="0" fillId="0" borderId="6" xfId="0" applyBorder="1" applyAlignment="1" applyProtection="1">
      <alignment horizontal="center"/>
    </xf>
    <xf numFmtId="0" fontId="0" fillId="9" borderId="6" xfId="0" applyNumberFormat="1" applyFill="1" applyBorder="1" applyAlignment="1" applyProtection="1">
      <alignment horizontal="center"/>
    </xf>
    <xf numFmtId="167" fontId="3" fillId="9" borderId="6" xfId="0" applyNumberFormat="1" applyFont="1" applyFill="1" applyBorder="1" applyAlignment="1">
      <alignment horizontal="center"/>
    </xf>
    <xf numFmtId="2" fontId="3" fillId="0" borderId="8" xfId="0" applyNumberFormat="1" applyFont="1" applyBorder="1" applyAlignment="1">
      <alignment horizontal="center"/>
    </xf>
    <xf numFmtId="2" fontId="3" fillId="2" borderId="6" xfId="1" applyNumberFormat="1" applyFont="1" applyFill="1" applyBorder="1" applyAlignment="1">
      <alignment horizontal="center"/>
    </xf>
    <xf numFmtId="2" fontId="3" fillId="2" borderId="6" xfId="3" applyNumberFormat="1" applyFont="1" applyFill="1" applyBorder="1" applyAlignment="1">
      <alignment horizontal="center"/>
    </xf>
    <xf numFmtId="2" fontId="3" fillId="2" borderId="5" xfId="0" applyNumberFormat="1" applyFont="1" applyFill="1" applyBorder="1" applyAlignment="1">
      <alignment horizontal="center"/>
    </xf>
    <xf numFmtId="2" fontId="3" fillId="2" borderId="4" xfId="0" applyNumberFormat="1" applyFont="1" applyFill="1" applyBorder="1" applyAlignment="1">
      <alignment horizontal="center"/>
    </xf>
    <xf numFmtId="2" fontId="3" fillId="2" borderId="17" xfId="0" applyNumberFormat="1" applyFont="1" applyFill="1" applyBorder="1" applyAlignment="1">
      <alignment horizontal="center"/>
    </xf>
    <xf numFmtId="2" fontId="4" fillId="10" borderId="27" xfId="0" applyNumberFormat="1" applyFont="1" applyFill="1" applyBorder="1"/>
    <xf numFmtId="2" fontId="9" fillId="10" borderId="6" xfId="0" applyNumberFormat="1" applyFont="1" applyFill="1" applyBorder="1" applyProtection="1"/>
    <xf numFmtId="2" fontId="9" fillId="10" borderId="6" xfId="0" applyNumberFormat="1" applyFont="1" applyFill="1" applyBorder="1"/>
    <xf numFmtId="9" fontId="5" fillId="2" borderId="18" xfId="0" applyNumberFormat="1" applyFont="1" applyFill="1" applyBorder="1" applyAlignment="1">
      <alignment horizontal="center"/>
    </xf>
    <xf numFmtId="9" fontId="4" fillId="2" borderId="8" xfId="0" applyNumberFormat="1" applyFont="1" applyFill="1" applyBorder="1" applyAlignment="1">
      <alignment horizontal="center"/>
    </xf>
    <xf numFmtId="2" fontId="13" fillId="2" borderId="0" xfId="0" applyNumberFormat="1" applyFont="1" applyFill="1" applyBorder="1" applyAlignment="1">
      <alignment horizontal="center"/>
    </xf>
    <xf numFmtId="2" fontId="4" fillId="11" borderId="6" xfId="0" applyNumberFormat="1" applyFont="1" applyFill="1" applyBorder="1" applyAlignment="1" applyProtection="1">
      <alignment horizontal="center"/>
      <protection locked="0"/>
    </xf>
    <xf numFmtId="2" fontId="0" fillId="9" borderId="1" xfId="0" applyNumberFormat="1" applyFill="1" applyBorder="1" applyAlignment="1">
      <alignment horizontal="center"/>
    </xf>
    <xf numFmtId="2" fontId="0" fillId="9" borderId="0" xfId="0" applyNumberFormat="1" applyFill="1" applyBorder="1" applyAlignment="1">
      <alignment horizontal="center"/>
    </xf>
    <xf numFmtId="173" fontId="13" fillId="9" borderId="0" xfId="0" applyNumberFormat="1" applyFont="1" applyFill="1" applyBorder="1" applyAlignment="1">
      <alignment horizontal="center"/>
    </xf>
    <xf numFmtId="173" fontId="13" fillId="9" borderId="1" xfId="0" applyNumberFormat="1" applyFont="1" applyFill="1" applyBorder="1" applyAlignment="1">
      <alignment horizontal="center"/>
    </xf>
    <xf numFmtId="0" fontId="4" fillId="2" borderId="17" xfId="0" applyFont="1" applyFill="1" applyBorder="1" applyAlignment="1">
      <alignment horizontal="right"/>
    </xf>
    <xf numFmtId="0" fontId="4" fillId="2" borderId="4" xfId="0" applyFont="1" applyFill="1" applyBorder="1" applyAlignment="1">
      <alignment horizontal="center"/>
    </xf>
    <xf numFmtId="0" fontId="0" fillId="10" borderId="6" xfId="0" applyFill="1" applyBorder="1" applyAlignment="1">
      <alignment horizontal="center"/>
    </xf>
    <xf numFmtId="0" fontId="5" fillId="9" borderId="0" xfId="0" applyFont="1" applyFill="1" applyAlignment="1">
      <alignment horizontal="right"/>
    </xf>
    <xf numFmtId="1" fontId="3" fillId="10" borderId="20" xfId="0" applyNumberFormat="1" applyFont="1" applyFill="1" applyBorder="1" applyAlignment="1">
      <alignment horizontal="center"/>
    </xf>
    <xf numFmtId="0" fontId="4" fillId="2" borderId="5" xfId="3" applyFill="1" applyBorder="1" applyAlignment="1">
      <alignment horizontal="center"/>
    </xf>
    <xf numFmtId="0" fontId="4" fillId="2" borderId="19" xfId="3" applyFill="1" applyBorder="1" applyAlignment="1">
      <alignment horizontal="center"/>
    </xf>
    <xf numFmtId="14" fontId="9" fillId="2" borderId="0" xfId="0" applyNumberFormat="1" applyFont="1" applyFill="1" applyBorder="1"/>
    <xf numFmtId="0" fontId="0" fillId="2" borderId="19" xfId="0" applyNumberFormat="1" applyFill="1" applyBorder="1" applyAlignment="1">
      <alignment horizontal="center"/>
    </xf>
    <xf numFmtId="0" fontId="0" fillId="2" borderId="3" xfId="0" applyNumberFormat="1" applyFill="1" applyBorder="1" applyAlignment="1">
      <alignment horizontal="center"/>
    </xf>
    <xf numFmtId="0" fontId="0" fillId="2" borderId="0" xfId="0" applyNumberFormat="1" applyFill="1" applyBorder="1" applyAlignment="1">
      <alignment horizontal="left"/>
    </xf>
    <xf numFmtId="0" fontId="3" fillId="2" borderId="4" xfId="0" applyFont="1" applyFill="1" applyBorder="1" applyAlignment="1">
      <alignment horizontal="center"/>
    </xf>
    <xf numFmtId="167" fontId="3" fillId="2" borderId="5" xfId="0" applyNumberFormat="1" applyFont="1" applyFill="1" applyBorder="1" applyAlignment="1">
      <alignment horizontal="center"/>
    </xf>
    <xf numFmtId="0" fontId="0" fillId="0" borderId="1" xfId="0" applyBorder="1"/>
    <xf numFmtId="0" fontId="0" fillId="3" borderId="0" xfId="0" applyFill="1" applyBorder="1" applyAlignment="1">
      <alignment horizontal="center"/>
    </xf>
    <xf numFmtId="167" fontId="8" fillId="2" borderId="0" xfId="0" applyNumberFormat="1" applyFont="1" applyFill="1" applyBorder="1" applyAlignment="1">
      <alignment horizontal="left"/>
    </xf>
    <xf numFmtId="0" fontId="2" fillId="2" borderId="3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4" fillId="2" borderId="19" xfId="3" applyFill="1" applyBorder="1"/>
    <xf numFmtId="0" fontId="0" fillId="2" borderId="17" xfId="0" applyFill="1" applyBorder="1" applyAlignment="1">
      <alignment horizontal="left"/>
    </xf>
    <xf numFmtId="0" fontId="38" fillId="9" borderId="0" xfId="0" applyFont="1" applyFill="1" applyBorder="1"/>
    <xf numFmtId="1" fontId="3" fillId="9" borderId="9" xfId="0" applyNumberFormat="1" applyFont="1" applyFill="1" applyBorder="1" applyAlignment="1" applyProtection="1">
      <alignment horizontal="center"/>
      <protection locked="0"/>
    </xf>
    <xf numFmtId="1" fontId="3" fillId="9" borderId="8" xfId="0" applyNumberFormat="1" applyFont="1" applyFill="1" applyBorder="1" applyAlignment="1" applyProtection="1">
      <alignment horizontal="center"/>
      <protection locked="0"/>
    </xf>
    <xf numFmtId="0" fontId="22" fillId="9" borderId="0" xfId="0" applyFont="1" applyFill="1" applyBorder="1"/>
    <xf numFmtId="2" fontId="7" fillId="9" borderId="0" xfId="0" applyNumberFormat="1" applyFont="1" applyFill="1" applyBorder="1"/>
    <xf numFmtId="0" fontId="2" fillId="9" borderId="1" xfId="0" applyFont="1" applyFill="1" applyBorder="1" applyAlignment="1">
      <alignment horizontal="center"/>
    </xf>
    <xf numFmtId="0" fontId="23" fillId="9" borderId="0" xfId="0" applyFont="1" applyFill="1" applyBorder="1"/>
    <xf numFmtId="0" fontId="0" fillId="9" borderId="19" xfId="0" applyFill="1" applyBorder="1"/>
    <xf numFmtId="0" fontId="5" fillId="2" borderId="17" xfId="0" applyFont="1" applyFill="1" applyBorder="1"/>
    <xf numFmtId="0" fontId="0" fillId="2" borderId="7" xfId="0" applyFill="1" applyBorder="1" applyAlignment="1">
      <alignment horizontal="left"/>
    </xf>
    <xf numFmtId="0" fontId="4" fillId="2" borderId="8" xfId="0" applyFont="1" applyFill="1" applyBorder="1"/>
    <xf numFmtId="0" fontId="4" fillId="2" borderId="9" xfId="0" applyFont="1" applyFill="1" applyBorder="1"/>
    <xf numFmtId="1" fontId="3" fillId="9" borderId="5" xfId="0" applyNumberFormat="1" applyFont="1" applyFill="1" applyBorder="1" applyProtection="1">
      <protection locked="0"/>
    </xf>
    <xf numFmtId="1" fontId="3" fillId="9" borderId="8" xfId="0" applyNumberFormat="1" applyFont="1" applyFill="1" applyBorder="1" applyAlignment="1">
      <alignment horizontal="left"/>
    </xf>
    <xf numFmtId="1" fontId="3" fillId="9" borderId="9" xfId="0" applyNumberFormat="1" applyFont="1" applyFill="1" applyBorder="1" applyAlignment="1">
      <alignment horizontal="left"/>
    </xf>
    <xf numFmtId="0" fontId="4" fillId="2" borderId="0" xfId="0" applyFont="1" applyFill="1" applyBorder="1" applyAlignment="1"/>
    <xf numFmtId="167" fontId="5" fillId="2" borderId="0" xfId="0" applyNumberFormat="1" applyFont="1" applyFill="1" applyBorder="1" applyAlignment="1">
      <alignment horizontal="center"/>
    </xf>
    <xf numFmtId="14" fontId="5" fillId="2" borderId="0" xfId="0" applyNumberFormat="1" applyFont="1" applyFill="1" applyBorder="1"/>
    <xf numFmtId="0" fontId="35" fillId="9" borderId="0" xfId="0" applyFont="1" applyFill="1"/>
    <xf numFmtId="0" fontId="25" fillId="9" borderId="0" xfId="0" applyFont="1" applyFill="1"/>
    <xf numFmtId="49" fontId="3" fillId="11" borderId="6" xfId="0" applyNumberFormat="1" applyFont="1" applyFill="1" applyBorder="1" applyAlignment="1" applyProtection="1">
      <alignment horizontal="center"/>
      <protection locked="0"/>
    </xf>
    <xf numFmtId="0" fontId="3" fillId="11" borderId="20" xfId="5" applyNumberFormat="1" applyFont="1" applyFill="1" applyBorder="1" applyAlignment="1" applyProtection="1">
      <alignment horizontal="center"/>
      <protection locked="0"/>
    </xf>
    <xf numFmtId="0" fontId="3" fillId="11" borderId="6" xfId="5" applyNumberFormat="1" applyFont="1" applyFill="1" applyBorder="1" applyAlignment="1" applyProtection="1">
      <alignment horizontal="center"/>
      <protection locked="0"/>
    </xf>
    <xf numFmtId="0" fontId="3" fillId="11" borderId="10" xfId="5" applyNumberFormat="1" applyFont="1" applyFill="1" applyBorder="1" applyAlignment="1" applyProtection="1">
      <alignment horizontal="center"/>
      <protection locked="0"/>
    </xf>
    <xf numFmtId="0" fontId="3" fillId="11" borderId="11" xfId="5" applyNumberFormat="1" applyFont="1" applyFill="1" applyBorder="1" applyAlignment="1" applyProtection="1">
      <alignment horizontal="center"/>
      <protection locked="0"/>
    </xf>
    <xf numFmtId="0" fontId="7" fillId="2" borderId="0" xfId="0" applyFont="1" applyFill="1" applyBorder="1" applyAlignment="1">
      <alignment horizontal="left"/>
    </xf>
    <xf numFmtId="0" fontId="5" fillId="2" borderId="6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167" fontId="3" fillId="2" borderId="0" xfId="0" applyNumberFormat="1" applyFont="1" applyFill="1" applyBorder="1" applyAlignment="1">
      <alignment horizontal="left"/>
    </xf>
    <xf numFmtId="0" fontId="13" fillId="2" borderId="7" xfId="0" applyFont="1" applyFill="1" applyBorder="1" applyAlignment="1"/>
    <xf numFmtId="0" fontId="5" fillId="2" borderId="7" xfId="0" applyFont="1" applyFill="1" applyBorder="1" applyAlignment="1"/>
    <xf numFmtId="167" fontId="3" fillId="2" borderId="7" xfId="0" applyNumberFormat="1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13" fillId="2" borderId="9" xfId="0" applyFont="1" applyFill="1" applyBorder="1" applyAlignment="1"/>
    <xf numFmtId="0" fontId="13" fillId="2" borderId="2" xfId="0" applyFont="1" applyFill="1" applyBorder="1" applyAlignment="1">
      <alignment horizontal="center"/>
    </xf>
    <xf numFmtId="0" fontId="3" fillId="2" borderId="19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5" fillId="2" borderId="1" xfId="0" applyFont="1" applyFill="1" applyBorder="1" applyAlignment="1"/>
    <xf numFmtId="169" fontId="13" fillId="2" borderId="1" xfId="0" applyNumberFormat="1" applyFont="1" applyFill="1" applyBorder="1" applyAlignment="1">
      <alignment horizontal="center"/>
    </xf>
    <xf numFmtId="167" fontId="13" fillId="2" borderId="3" xfId="0" applyNumberFormat="1" applyFont="1" applyFill="1" applyBorder="1" applyAlignment="1">
      <alignment horizontal="center"/>
    </xf>
    <xf numFmtId="0" fontId="5" fillId="2" borderId="1" xfId="0" applyFont="1" applyFill="1" applyBorder="1"/>
    <xf numFmtId="169" fontId="5" fillId="2" borderId="2" xfId="0" applyNumberFormat="1" applyFont="1" applyFill="1" applyBorder="1" applyAlignment="1">
      <alignment horizontal="center"/>
    </xf>
    <xf numFmtId="167" fontId="5" fillId="2" borderId="3" xfId="0" applyNumberFormat="1" applyFont="1" applyFill="1" applyBorder="1" applyAlignment="1">
      <alignment horizontal="center"/>
    </xf>
    <xf numFmtId="167" fontId="0" fillId="2" borderId="9" xfId="0" applyNumberFormat="1" applyFill="1" applyBorder="1" applyAlignment="1">
      <alignment horizontal="center"/>
    </xf>
    <xf numFmtId="173" fontId="0" fillId="2" borderId="4" xfId="0" applyNumberFormat="1" applyFill="1" applyBorder="1" applyAlignment="1">
      <alignment horizontal="center"/>
    </xf>
    <xf numFmtId="0" fontId="0" fillId="2" borderId="6" xfId="0" applyFill="1" applyBorder="1" applyAlignment="1">
      <alignment horizontal="center" vertical="center"/>
    </xf>
    <xf numFmtId="0" fontId="17" fillId="9" borderId="0" xfId="2" applyFont="1" applyFill="1" applyAlignment="1" applyProtection="1"/>
    <xf numFmtId="0" fontId="4" fillId="2" borderId="17" xfId="0" applyFont="1" applyFill="1" applyBorder="1"/>
    <xf numFmtId="1" fontId="0" fillId="2" borderId="8" xfId="0" applyNumberFormat="1" applyFill="1" applyBorder="1" applyAlignment="1">
      <alignment horizontal="center"/>
    </xf>
    <xf numFmtId="1" fontId="0" fillId="10" borderId="17" xfId="0" applyNumberFormat="1" applyFill="1" applyBorder="1" applyAlignment="1">
      <alignment horizontal="center"/>
    </xf>
    <xf numFmtId="167" fontId="4" fillId="2" borderId="0" xfId="0" applyNumberFormat="1" applyFont="1" applyFill="1" applyBorder="1" applyAlignment="1">
      <alignment horizontal="left"/>
    </xf>
    <xf numFmtId="2" fontId="4" fillId="9" borderId="36" xfId="0" applyNumberFormat="1" applyFont="1" applyFill="1" applyBorder="1"/>
    <xf numFmtId="2" fontId="4" fillId="9" borderId="36" xfId="0" applyNumberFormat="1" applyFont="1" applyFill="1" applyBorder="1" applyAlignment="1">
      <alignment horizontal="center"/>
    </xf>
    <xf numFmtId="2" fontId="0" fillId="9" borderId="36" xfId="0" applyNumberFormat="1" applyFill="1" applyBorder="1" applyAlignment="1">
      <alignment horizontal="center"/>
    </xf>
    <xf numFmtId="2" fontId="4" fillId="9" borderId="37" xfId="0" applyNumberFormat="1" applyFont="1" applyFill="1" applyBorder="1"/>
    <xf numFmtId="1" fontId="4" fillId="9" borderId="29" xfId="0" applyNumberFormat="1" applyFont="1" applyFill="1" applyBorder="1" applyAlignment="1">
      <alignment horizontal="center"/>
    </xf>
    <xf numFmtId="0" fontId="0" fillId="9" borderId="0" xfId="0" applyFill="1" applyBorder="1" applyProtection="1"/>
    <xf numFmtId="2" fontId="25" fillId="9" borderId="0" xfId="0" applyNumberFormat="1" applyFont="1" applyFill="1" applyBorder="1" applyAlignment="1" applyProtection="1">
      <alignment horizontal="right"/>
      <protection locked="0"/>
    </xf>
    <xf numFmtId="2" fontId="25" fillId="0" borderId="0" xfId="0" applyNumberFormat="1" applyFont="1" applyFill="1" applyBorder="1" applyAlignment="1" applyProtection="1">
      <alignment horizontal="right"/>
      <protection locked="0"/>
    </xf>
    <xf numFmtId="0" fontId="4" fillId="9" borderId="6" xfId="0" applyFont="1" applyFill="1" applyBorder="1" applyProtection="1"/>
    <xf numFmtId="0" fontId="4" fillId="9" borderId="7" xfId="0" applyFont="1" applyFill="1" applyBorder="1" applyProtection="1"/>
    <xf numFmtId="0" fontId="25" fillId="9" borderId="5" xfId="0" applyFont="1" applyFill="1" applyBorder="1" applyAlignment="1" applyProtection="1">
      <alignment horizontal="right"/>
    </xf>
    <xf numFmtId="2" fontId="25" fillId="11" borderId="11" xfId="0" applyNumberFormat="1" applyFont="1" applyFill="1" applyBorder="1" applyAlignment="1" applyProtection="1">
      <alignment horizontal="right"/>
      <protection locked="0"/>
    </xf>
    <xf numFmtId="0" fontId="25" fillId="9" borderId="7" xfId="0" applyFont="1" applyFill="1" applyBorder="1" applyProtection="1"/>
    <xf numFmtId="0" fontId="25" fillId="9" borderId="7" xfId="0" applyFont="1" applyFill="1" applyBorder="1" applyAlignment="1" applyProtection="1">
      <alignment horizontal="right"/>
    </xf>
    <xf numFmtId="0" fontId="0" fillId="9" borderId="7" xfId="0" applyFill="1" applyBorder="1" applyProtection="1"/>
    <xf numFmtId="0" fontId="0" fillId="9" borderId="7" xfId="0" applyFill="1" applyBorder="1" applyAlignment="1" applyProtection="1">
      <alignment horizontal="right"/>
    </xf>
    <xf numFmtId="1" fontId="25" fillId="9" borderId="6" xfId="0" applyNumberFormat="1" applyFont="1" applyFill="1" applyBorder="1" applyProtection="1"/>
    <xf numFmtId="0" fontId="4" fillId="9" borderId="20" xfId="2" applyNumberFormat="1" applyFont="1" applyFill="1" applyBorder="1" applyAlignment="1" applyProtection="1">
      <alignment horizontal="center"/>
    </xf>
    <xf numFmtId="0" fontId="4" fillId="9" borderId="20" xfId="0" applyFont="1" applyFill="1" applyBorder="1" applyAlignment="1">
      <alignment horizontal="center"/>
    </xf>
    <xf numFmtId="2" fontId="4" fillId="9" borderId="2" xfId="0" applyNumberFormat="1" applyFont="1" applyFill="1" applyBorder="1" applyAlignment="1">
      <alignment horizontal="center"/>
    </xf>
    <xf numFmtId="2" fontId="0" fillId="9" borderId="20" xfId="0" applyNumberFormat="1" applyFill="1" applyBorder="1" applyAlignment="1">
      <alignment horizontal="center"/>
    </xf>
    <xf numFmtId="2" fontId="4" fillId="9" borderId="20" xfId="0" applyNumberFormat="1" applyFont="1" applyFill="1" applyBorder="1" applyAlignment="1">
      <alignment horizontal="center"/>
    </xf>
    <xf numFmtId="2" fontId="4" fillId="9" borderId="1" xfId="0" applyNumberFormat="1" applyFont="1" applyFill="1" applyBorder="1"/>
    <xf numFmtId="2" fontId="5" fillId="9" borderId="3" xfId="0" applyNumberFormat="1" applyFont="1" applyFill="1" applyBorder="1"/>
    <xf numFmtId="2" fontId="4" fillId="13" borderId="11" xfId="0" applyNumberFormat="1" applyFont="1" applyFill="1" applyBorder="1" applyAlignment="1" applyProtection="1">
      <alignment horizontal="center"/>
      <protection locked="0"/>
    </xf>
    <xf numFmtId="2" fontId="4" fillId="13" borderId="6" xfId="0" applyNumberFormat="1" applyFont="1" applyFill="1" applyBorder="1" applyAlignment="1" applyProtection="1">
      <alignment horizontal="center"/>
      <protection locked="0"/>
    </xf>
    <xf numFmtId="2" fontId="4" fillId="13" borderId="20" xfId="0" applyNumberFormat="1" applyFont="1" applyFill="1" applyBorder="1" applyAlignment="1" applyProtection="1">
      <alignment horizontal="center"/>
      <protection locked="0"/>
    </xf>
    <xf numFmtId="0" fontId="0" fillId="9" borderId="38" xfId="0" applyFill="1" applyBorder="1"/>
    <xf numFmtId="1" fontId="0" fillId="9" borderId="39" xfId="0" applyNumberFormat="1" applyFill="1" applyBorder="1" applyAlignment="1">
      <alignment horizontal="center"/>
    </xf>
    <xf numFmtId="2" fontId="4" fillId="9" borderId="9" xfId="0" applyNumberFormat="1" applyFont="1" applyFill="1" applyBorder="1" applyAlignment="1">
      <alignment horizontal="center"/>
    </xf>
    <xf numFmtId="2" fontId="0" fillId="9" borderId="11" xfId="0" applyNumberFormat="1" applyFill="1" applyBorder="1" applyAlignment="1">
      <alignment horizontal="center"/>
    </xf>
    <xf numFmtId="2" fontId="4" fillId="9" borderId="11" xfId="0" applyNumberFormat="1" applyFont="1" applyFill="1" applyBorder="1" applyAlignment="1">
      <alignment horizontal="center"/>
    </xf>
    <xf numFmtId="2" fontId="4" fillId="9" borderId="7" xfId="0" applyNumberFormat="1" applyFont="1" applyFill="1" applyBorder="1"/>
    <xf numFmtId="2" fontId="5" fillId="9" borderId="5" xfId="0" applyNumberFormat="1" applyFont="1" applyFill="1" applyBorder="1"/>
    <xf numFmtId="0" fontId="4" fillId="9" borderId="11" xfId="2" applyNumberFormat="1" applyFont="1" applyFill="1" applyBorder="1" applyAlignment="1" applyProtection="1">
      <alignment horizontal="center"/>
    </xf>
    <xf numFmtId="0" fontId="0" fillId="9" borderId="11" xfId="0" applyFill="1" applyBorder="1"/>
    <xf numFmtId="0" fontId="0" fillId="9" borderId="20" xfId="0" applyFill="1" applyBorder="1"/>
    <xf numFmtId="1" fontId="3" fillId="9" borderId="18" xfId="0" applyNumberFormat="1" applyFont="1" applyFill="1" applyBorder="1" applyAlignment="1">
      <alignment horizontal="left"/>
    </xf>
    <xf numFmtId="0" fontId="4" fillId="4" borderId="40" xfId="0" applyFont="1" applyFill="1" applyBorder="1" applyAlignment="1" applyProtection="1">
      <alignment horizontal="center"/>
      <protection locked="0"/>
    </xf>
    <xf numFmtId="1" fontId="4" fillId="4" borderId="41" xfId="0" applyNumberFormat="1" applyFont="1" applyFill="1" applyBorder="1" applyAlignment="1" applyProtection="1">
      <alignment horizontal="center"/>
      <protection locked="0"/>
    </xf>
    <xf numFmtId="2" fontId="4" fillId="4" borderId="42" xfId="0" applyNumberFormat="1" applyFont="1" applyFill="1" applyBorder="1" applyAlignment="1" applyProtection="1">
      <alignment horizontal="center"/>
      <protection locked="0"/>
    </xf>
    <xf numFmtId="1" fontId="4" fillId="4" borderId="43" xfId="0" applyNumberFormat="1" applyFont="1" applyFill="1" applyBorder="1" applyAlignment="1" applyProtection="1">
      <alignment horizontal="center"/>
      <protection locked="0"/>
    </xf>
    <xf numFmtId="2" fontId="4" fillId="4" borderId="44" xfId="0" applyNumberFormat="1" applyFont="1" applyFill="1" applyBorder="1" applyAlignment="1" applyProtection="1">
      <alignment horizontal="center"/>
      <protection locked="0"/>
    </xf>
    <xf numFmtId="0" fontId="4" fillId="0" borderId="45" xfId="0" applyFont="1" applyBorder="1" applyAlignment="1" applyProtection="1">
      <alignment horizontal="center"/>
    </xf>
    <xf numFmtId="2" fontId="4" fillId="0" borderId="25" xfId="0" applyNumberFormat="1" applyFont="1" applyBorder="1" applyAlignment="1" applyProtection="1">
      <alignment horizontal="center"/>
    </xf>
    <xf numFmtId="0" fontId="4" fillId="0" borderId="0" xfId="0" applyFont="1"/>
    <xf numFmtId="0" fontId="4" fillId="4" borderId="46" xfId="0" applyFont="1" applyFill="1" applyBorder="1" applyAlignment="1" applyProtection="1">
      <alignment horizontal="center"/>
      <protection locked="0"/>
    </xf>
    <xf numFmtId="1" fontId="4" fillId="4" borderId="47" xfId="0" applyNumberFormat="1" applyFont="1" applyFill="1" applyBorder="1" applyAlignment="1" applyProtection="1">
      <alignment horizontal="center"/>
      <protection locked="0"/>
    </xf>
    <xf numFmtId="2" fontId="4" fillId="4" borderId="26" xfId="0" applyNumberFormat="1" applyFont="1" applyFill="1" applyBorder="1" applyAlignment="1" applyProtection="1">
      <alignment horizontal="center"/>
      <protection locked="0"/>
    </xf>
    <xf numFmtId="1" fontId="4" fillId="4" borderId="4" xfId="0" applyNumberFormat="1" applyFont="1" applyFill="1" applyBorder="1" applyAlignment="1" applyProtection="1">
      <alignment horizontal="center"/>
      <protection locked="0"/>
    </xf>
    <xf numFmtId="2" fontId="4" fillId="4" borderId="8" xfId="0" applyNumberFormat="1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center"/>
    </xf>
    <xf numFmtId="2" fontId="4" fillId="0" borderId="26" xfId="0" applyNumberFormat="1" applyFont="1" applyBorder="1" applyAlignment="1" applyProtection="1">
      <alignment horizontal="center"/>
    </xf>
    <xf numFmtId="0" fontId="4" fillId="4" borderId="48" xfId="0" applyFont="1" applyFill="1" applyBorder="1" applyAlignment="1" applyProtection="1">
      <alignment horizontal="center"/>
      <protection locked="0"/>
    </xf>
    <xf numFmtId="1" fontId="4" fillId="4" borderId="29" xfId="0" applyNumberFormat="1" applyFont="1" applyFill="1" applyBorder="1" applyAlignment="1" applyProtection="1">
      <alignment horizontal="center"/>
      <protection locked="0"/>
    </xf>
    <xf numFmtId="2" fontId="4" fillId="4" borderId="37" xfId="0" applyNumberFormat="1" applyFont="1" applyFill="1" applyBorder="1" applyAlignment="1" applyProtection="1">
      <alignment horizontal="center"/>
      <protection locked="0"/>
    </xf>
    <xf numFmtId="1" fontId="4" fillId="4" borderId="28" xfId="0" applyNumberFormat="1" applyFont="1" applyFill="1" applyBorder="1" applyAlignment="1" applyProtection="1">
      <alignment horizontal="center"/>
      <protection locked="0"/>
    </xf>
    <xf numFmtId="2" fontId="4" fillId="4" borderId="49" xfId="0" applyNumberFormat="1" applyFont="1" applyFill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</xf>
    <xf numFmtId="2" fontId="4" fillId="0" borderId="39" xfId="0" applyNumberFormat="1" applyFont="1" applyBorder="1" applyAlignment="1" applyProtection="1">
      <alignment horizontal="center"/>
    </xf>
    <xf numFmtId="0" fontId="4" fillId="13" borderId="50" xfId="0" applyFont="1" applyFill="1" applyBorder="1" applyAlignment="1" applyProtection="1">
      <alignment horizontal="center"/>
      <protection locked="0"/>
    </xf>
    <xf numFmtId="1" fontId="4" fillId="13" borderId="51" xfId="0" applyNumberFormat="1" applyFont="1" applyFill="1" applyBorder="1" applyAlignment="1" applyProtection="1">
      <alignment horizontal="center"/>
      <protection locked="0"/>
    </xf>
    <xf numFmtId="2" fontId="4" fillId="13" borderId="52" xfId="0" applyNumberFormat="1" applyFont="1" applyFill="1" applyBorder="1" applyAlignment="1" applyProtection="1">
      <alignment horizontal="center"/>
      <protection locked="0"/>
    </xf>
    <xf numFmtId="2" fontId="4" fillId="13" borderId="9" xfId="0" applyNumberFormat="1" applyFont="1" applyFill="1" applyBorder="1" applyAlignment="1" applyProtection="1">
      <alignment horizontal="center"/>
      <protection locked="0"/>
    </xf>
    <xf numFmtId="0" fontId="4" fillId="9" borderId="51" xfId="0" applyFont="1" applyFill="1" applyBorder="1" applyAlignment="1" applyProtection="1">
      <alignment horizontal="center"/>
    </xf>
    <xf numFmtId="2" fontId="4" fillId="9" borderId="52" xfId="0" applyNumberFormat="1" applyFont="1" applyFill="1" applyBorder="1" applyAlignment="1" applyProtection="1">
      <alignment horizontal="center"/>
    </xf>
    <xf numFmtId="0" fontId="4" fillId="13" borderId="46" xfId="0" applyFont="1" applyFill="1" applyBorder="1" applyAlignment="1" applyProtection="1">
      <alignment horizontal="center"/>
      <protection locked="0"/>
    </xf>
    <xf numFmtId="1" fontId="4" fillId="13" borderId="47" xfId="0" applyNumberFormat="1" applyFont="1" applyFill="1" applyBorder="1" applyAlignment="1" applyProtection="1">
      <alignment horizontal="center"/>
      <protection locked="0"/>
    </xf>
    <xf numFmtId="2" fontId="4" fillId="13" borderId="26" xfId="0" applyNumberFormat="1" applyFont="1" applyFill="1" applyBorder="1" applyAlignment="1" applyProtection="1">
      <alignment horizontal="center"/>
      <protection locked="0"/>
    </xf>
    <xf numFmtId="2" fontId="4" fillId="13" borderId="8" xfId="0" applyNumberFormat="1" applyFont="1" applyFill="1" applyBorder="1" applyAlignment="1" applyProtection="1">
      <alignment horizontal="center"/>
      <protection locked="0"/>
    </xf>
    <xf numFmtId="0" fontId="4" fillId="9" borderId="47" xfId="0" applyFont="1" applyFill="1" applyBorder="1" applyAlignment="1" applyProtection="1">
      <alignment horizontal="center"/>
    </xf>
    <xf numFmtId="2" fontId="4" fillId="9" borderId="26" xfId="0" applyNumberFormat="1" applyFont="1" applyFill="1" applyBorder="1" applyAlignment="1" applyProtection="1">
      <alignment horizontal="center"/>
    </xf>
    <xf numFmtId="0" fontId="4" fillId="13" borderId="53" xfId="0" applyFont="1" applyFill="1" applyBorder="1" applyAlignment="1" applyProtection="1">
      <alignment horizontal="center"/>
      <protection locked="0"/>
    </xf>
    <xf numFmtId="1" fontId="4" fillId="13" borderId="54" xfId="0" applyNumberFormat="1" applyFont="1" applyFill="1" applyBorder="1" applyAlignment="1" applyProtection="1">
      <alignment horizontal="center"/>
      <protection locked="0"/>
    </xf>
    <xf numFmtId="2" fontId="4" fillId="13" borderId="39" xfId="0" applyNumberFormat="1" applyFont="1" applyFill="1" applyBorder="1" applyAlignment="1" applyProtection="1">
      <alignment horizontal="center"/>
      <protection locked="0"/>
    </xf>
    <xf numFmtId="2" fontId="4" fillId="13" borderId="2" xfId="0" applyNumberFormat="1" applyFont="1" applyFill="1" applyBorder="1" applyAlignment="1" applyProtection="1">
      <alignment horizontal="center"/>
      <protection locked="0"/>
    </xf>
    <xf numFmtId="0" fontId="4" fillId="9" borderId="54" xfId="0" applyFont="1" applyFill="1" applyBorder="1" applyAlignment="1" applyProtection="1">
      <alignment horizontal="center"/>
    </xf>
    <xf numFmtId="2" fontId="4" fillId="9" borderId="39" xfId="0" applyNumberFormat="1" applyFont="1" applyFill="1" applyBorder="1" applyAlignment="1" applyProtection="1">
      <alignment horizontal="center"/>
    </xf>
    <xf numFmtId="0" fontId="4" fillId="9" borderId="55" xfId="0" applyFont="1" applyFill="1" applyBorder="1" applyAlignment="1" applyProtection="1">
      <alignment horizontal="center"/>
    </xf>
    <xf numFmtId="2" fontId="4" fillId="9" borderId="56" xfId="0" applyNumberFormat="1" applyFont="1" applyFill="1" applyBorder="1" applyAlignment="1" applyProtection="1">
      <alignment horizontal="center"/>
    </xf>
    <xf numFmtId="0" fontId="4" fillId="9" borderId="0" xfId="0" applyFont="1" applyFill="1" applyAlignment="1" applyProtection="1">
      <alignment horizontal="right"/>
    </xf>
    <xf numFmtId="0" fontId="4" fillId="9" borderId="0" xfId="0" applyFont="1" applyFill="1" applyAlignment="1" applyProtection="1">
      <alignment horizontal="center"/>
    </xf>
    <xf numFmtId="0" fontId="4" fillId="9" borderId="0" xfId="0" applyFont="1" applyFill="1" applyProtection="1"/>
    <xf numFmtId="1" fontId="4" fillId="9" borderId="0" xfId="0" applyNumberFormat="1" applyFont="1" applyFill="1" applyAlignment="1" applyProtection="1">
      <alignment horizontal="center"/>
    </xf>
    <xf numFmtId="2" fontId="5" fillId="9" borderId="0" xfId="0" applyNumberFormat="1" applyFont="1" applyFill="1" applyAlignment="1" applyProtection="1">
      <alignment horizontal="center"/>
    </xf>
    <xf numFmtId="0" fontId="4" fillId="9" borderId="8" xfId="0" applyFont="1" applyFill="1" applyBorder="1" applyProtection="1"/>
    <xf numFmtId="0" fontId="4" fillId="9" borderId="17" xfId="0" applyFont="1" applyFill="1" applyBorder="1" applyProtection="1"/>
    <xf numFmtId="2" fontId="4" fillId="5" borderId="17" xfId="0" applyNumberFormat="1" applyFont="1" applyFill="1" applyBorder="1" applyProtection="1"/>
    <xf numFmtId="0" fontId="4" fillId="0" borderId="4" xfId="0" applyFont="1" applyBorder="1" applyProtection="1"/>
    <xf numFmtId="0" fontId="4" fillId="9" borderId="49" xfId="0" applyFont="1" applyFill="1" applyBorder="1" applyProtection="1"/>
    <xf numFmtId="0" fontId="4" fillId="9" borderId="22" xfId="0" applyFont="1" applyFill="1" applyBorder="1" applyProtection="1"/>
    <xf numFmtId="2" fontId="4" fillId="0" borderId="22" xfId="0" applyNumberFormat="1" applyFont="1" applyBorder="1" applyProtection="1"/>
    <xf numFmtId="0" fontId="4" fillId="0" borderId="28" xfId="0" applyFont="1" applyBorder="1" applyProtection="1"/>
    <xf numFmtId="0" fontId="4" fillId="6" borderId="27" xfId="0" applyFont="1" applyFill="1" applyBorder="1" applyProtection="1"/>
    <xf numFmtId="0" fontId="5" fillId="9" borderId="0" xfId="0" applyFont="1" applyFill="1" applyProtection="1"/>
    <xf numFmtId="2" fontId="4" fillId="7" borderId="6" xfId="0" applyNumberFormat="1" applyFont="1" applyFill="1" applyBorder="1" applyProtection="1">
      <protection locked="0"/>
    </xf>
    <xf numFmtId="2" fontId="4" fillId="8" borderId="6" xfId="0" applyNumberFormat="1" applyFont="1" applyFill="1" applyBorder="1" applyProtection="1">
      <protection locked="0"/>
    </xf>
    <xf numFmtId="2" fontId="4" fillId="2" borderId="6" xfId="0" applyNumberFormat="1" applyFont="1" applyFill="1" applyBorder="1" applyProtection="1">
      <protection locked="0"/>
    </xf>
    <xf numFmtId="0" fontId="4" fillId="0" borderId="41" xfId="0" applyFont="1" applyBorder="1" applyProtection="1"/>
    <xf numFmtId="0" fontId="4" fillId="0" borderId="42" xfId="0" applyFont="1" applyBorder="1" applyProtection="1"/>
    <xf numFmtId="0" fontId="4" fillId="0" borderId="2" xfId="0" applyFont="1" applyFill="1" applyBorder="1" applyAlignment="1" applyProtection="1">
      <alignment horizontal="center" vertical="center"/>
    </xf>
    <xf numFmtId="0" fontId="4" fillId="0" borderId="54" xfId="0" applyFont="1" applyFill="1" applyBorder="1" applyAlignment="1" applyProtection="1">
      <alignment horizontal="center" vertical="center" wrapText="1"/>
    </xf>
    <xf numFmtId="0" fontId="4" fillId="0" borderId="39" xfId="0" applyFont="1" applyFill="1" applyBorder="1" applyAlignment="1" applyProtection="1">
      <alignment horizontal="center" vertical="center" wrapText="1"/>
    </xf>
    <xf numFmtId="0" fontId="5" fillId="9" borderId="0" xfId="0" applyFont="1" applyFill="1" applyAlignment="1" applyProtection="1">
      <alignment horizontal="center"/>
    </xf>
    <xf numFmtId="0" fontId="5" fillId="0" borderId="0" xfId="0" applyFont="1"/>
    <xf numFmtId="0" fontId="13" fillId="9" borderId="57" xfId="0" applyFont="1" applyFill="1" applyBorder="1" applyAlignment="1" applyProtection="1">
      <alignment horizontal="center"/>
    </xf>
    <xf numFmtId="2" fontId="13" fillId="9" borderId="34" xfId="0" applyNumberFormat="1" applyFont="1" applyFill="1" applyBorder="1" applyAlignment="1" applyProtection="1">
      <alignment horizontal="center"/>
    </xf>
    <xf numFmtId="0" fontId="13" fillId="9" borderId="0" xfId="0" applyFont="1" applyFill="1"/>
    <xf numFmtId="0" fontId="13" fillId="0" borderId="0" xfId="0" applyFont="1"/>
    <xf numFmtId="0" fontId="4" fillId="9" borderId="0" xfId="0" applyFont="1" applyFill="1" applyAlignment="1" applyProtection="1">
      <alignment vertical="center"/>
    </xf>
    <xf numFmtId="0" fontId="4" fillId="9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29" fillId="9" borderId="6" xfId="2" applyNumberFormat="1" applyFont="1" applyFill="1" applyBorder="1" applyAlignment="1" applyProtection="1">
      <alignment horizontal="center"/>
    </xf>
    <xf numFmtId="0" fontId="0" fillId="9" borderId="10" xfId="0" applyFill="1" applyBorder="1"/>
    <xf numFmtId="1" fontId="0" fillId="9" borderId="6" xfId="0" applyNumberFormat="1" applyFill="1" applyBorder="1" applyAlignment="1">
      <alignment horizontal="center"/>
    </xf>
    <xf numFmtId="2" fontId="4" fillId="9" borderId="10" xfId="0" applyNumberFormat="1" applyFont="1" applyFill="1" applyBorder="1" applyAlignment="1" applyProtection="1">
      <alignment horizontal="center"/>
      <protection locked="0"/>
    </xf>
    <xf numFmtId="2" fontId="4" fillId="9" borderId="18" xfId="0" applyNumberFormat="1" applyFont="1" applyFill="1" applyBorder="1" applyAlignment="1">
      <alignment horizontal="center"/>
    </xf>
    <xf numFmtId="2" fontId="0" fillId="9" borderId="10" xfId="0" applyNumberFormat="1" applyFill="1" applyBorder="1" applyAlignment="1">
      <alignment horizontal="center"/>
    </xf>
    <xf numFmtId="2" fontId="5" fillId="9" borderId="19" xfId="0" applyNumberFormat="1" applyFont="1" applyFill="1" applyBorder="1"/>
    <xf numFmtId="2" fontId="4" fillId="9" borderId="20" xfId="0" applyNumberFormat="1" applyFont="1" applyFill="1" applyBorder="1" applyAlignment="1" applyProtection="1">
      <alignment horizontal="center"/>
      <protection locked="0"/>
    </xf>
    <xf numFmtId="2" fontId="4" fillId="9" borderId="6" xfId="0" applyNumberFormat="1" applyFont="1" applyFill="1" applyBorder="1" applyAlignment="1" applyProtection="1">
      <alignment horizontal="center"/>
      <protection locked="0"/>
    </xf>
    <xf numFmtId="2" fontId="4" fillId="9" borderId="6" xfId="0" applyNumberFormat="1" applyFont="1" applyFill="1" applyBorder="1"/>
    <xf numFmtId="2" fontId="5" fillId="9" borderId="6" xfId="0" applyNumberFormat="1" applyFont="1" applyFill="1" applyBorder="1"/>
    <xf numFmtId="0" fontId="4" fillId="14" borderId="50" xfId="0" applyFont="1" applyFill="1" applyBorder="1" applyAlignment="1" applyProtection="1">
      <alignment horizontal="center"/>
      <protection locked="0"/>
    </xf>
    <xf numFmtId="1" fontId="4" fillId="14" borderId="51" xfId="0" applyNumberFormat="1" applyFont="1" applyFill="1" applyBorder="1" applyAlignment="1" applyProtection="1">
      <alignment horizontal="center"/>
      <protection locked="0"/>
    </xf>
    <xf numFmtId="2" fontId="4" fillId="14" borderId="52" xfId="0" applyNumberFormat="1" applyFont="1" applyFill="1" applyBorder="1" applyAlignment="1" applyProtection="1">
      <alignment horizontal="center"/>
      <protection locked="0"/>
    </xf>
    <xf numFmtId="2" fontId="4" fillId="14" borderId="9" xfId="0" applyNumberFormat="1" applyFont="1" applyFill="1" applyBorder="1" applyAlignment="1" applyProtection="1">
      <alignment horizontal="center"/>
      <protection locked="0"/>
    </xf>
    <xf numFmtId="0" fontId="4" fillId="14" borderId="46" xfId="0" applyFont="1" applyFill="1" applyBorder="1" applyAlignment="1" applyProtection="1">
      <alignment horizontal="center"/>
      <protection locked="0"/>
    </xf>
    <xf numFmtId="1" fontId="4" fillId="14" borderId="47" xfId="0" applyNumberFormat="1" applyFont="1" applyFill="1" applyBorder="1" applyAlignment="1" applyProtection="1">
      <alignment horizontal="center"/>
      <protection locked="0"/>
    </xf>
    <xf numFmtId="2" fontId="4" fillId="14" borderId="26" xfId="0" applyNumberFormat="1" applyFont="1" applyFill="1" applyBorder="1" applyAlignment="1" applyProtection="1">
      <alignment horizontal="center"/>
      <protection locked="0"/>
    </xf>
    <xf numFmtId="2" fontId="4" fillId="14" borderId="8" xfId="0" applyNumberFormat="1" applyFont="1" applyFill="1" applyBorder="1" applyAlignment="1" applyProtection="1">
      <alignment horizontal="center"/>
      <protection locked="0"/>
    </xf>
    <xf numFmtId="0" fontId="4" fillId="14" borderId="48" xfId="0" applyFont="1" applyFill="1" applyBorder="1" applyAlignment="1" applyProtection="1">
      <alignment horizontal="center"/>
      <protection locked="0"/>
    </xf>
    <xf numFmtId="1" fontId="4" fillId="14" borderId="55" xfId="0" applyNumberFormat="1" applyFont="1" applyFill="1" applyBorder="1" applyAlignment="1" applyProtection="1">
      <alignment horizontal="center"/>
      <protection locked="0"/>
    </xf>
    <xf numFmtId="2" fontId="4" fillId="14" borderId="56" xfId="0" applyNumberFormat="1" applyFont="1" applyFill="1" applyBorder="1" applyAlignment="1" applyProtection="1">
      <alignment horizontal="center"/>
      <protection locked="0"/>
    </xf>
    <xf numFmtId="2" fontId="4" fillId="14" borderId="58" xfId="0" applyNumberFormat="1" applyFont="1" applyFill="1" applyBorder="1" applyAlignment="1" applyProtection="1">
      <alignment horizontal="center"/>
      <protection locked="0"/>
    </xf>
    <xf numFmtId="9" fontId="0" fillId="2" borderId="0" xfId="0" applyNumberFormat="1" applyFill="1" applyBorder="1"/>
    <xf numFmtId="0" fontId="6" fillId="2" borderId="0" xfId="0" applyFont="1" applyFill="1" applyBorder="1" applyAlignment="1">
      <alignment horizontal="left"/>
    </xf>
    <xf numFmtId="9" fontId="5" fillId="11" borderId="6" xfId="5" applyFont="1" applyFill="1" applyBorder="1" applyAlignment="1" applyProtection="1">
      <alignment horizontal="center"/>
      <protection locked="0"/>
    </xf>
    <xf numFmtId="0" fontId="0" fillId="2" borderId="8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2" fillId="2" borderId="4" xfId="0" applyFont="1" applyFill="1" applyBorder="1"/>
    <xf numFmtId="0" fontId="2" fillId="2" borderId="47" xfId="0" applyFont="1" applyFill="1" applyBorder="1"/>
    <xf numFmtId="0" fontId="0" fillId="2" borderId="26" xfId="0" applyFill="1" applyBorder="1" applyAlignment="1">
      <alignment horizontal="center"/>
    </xf>
    <xf numFmtId="0" fontId="0" fillId="2" borderId="47" xfId="0" applyFill="1" applyBorder="1" applyAlignment="1">
      <alignment horizontal="center"/>
    </xf>
    <xf numFmtId="2" fontId="3" fillId="9" borderId="26" xfId="0" applyNumberFormat="1" applyFont="1" applyFill="1" applyBorder="1" applyAlignment="1">
      <alignment horizontal="center"/>
    </xf>
    <xf numFmtId="0" fontId="0" fillId="2" borderId="55" xfId="0" applyFill="1" applyBorder="1" applyAlignment="1">
      <alignment horizontal="center"/>
    </xf>
    <xf numFmtId="2" fontId="0" fillId="2" borderId="31" xfId="0" applyNumberFormat="1" applyFill="1" applyBorder="1" applyAlignment="1">
      <alignment horizontal="center"/>
    </xf>
    <xf numFmtId="1" fontId="3" fillId="10" borderId="31" xfId="0" applyNumberFormat="1" applyFont="1" applyFill="1" applyBorder="1" applyAlignment="1">
      <alignment horizontal="center"/>
    </xf>
    <xf numFmtId="2" fontId="3" fillId="9" borderId="56" xfId="0" applyNumberFormat="1" applyFont="1" applyFill="1" applyBorder="1" applyAlignment="1">
      <alignment horizontal="center"/>
    </xf>
    <xf numFmtId="2" fontId="3" fillId="9" borderId="8" xfId="0" applyNumberFormat="1" applyFont="1" applyFill="1" applyBorder="1" applyAlignment="1">
      <alignment horizontal="center"/>
    </xf>
    <xf numFmtId="2" fontId="3" fillId="9" borderId="58" xfId="0" applyNumberFormat="1" applyFont="1" applyFill="1" applyBorder="1" applyAlignment="1">
      <alignment horizontal="center"/>
    </xf>
    <xf numFmtId="2" fontId="3" fillId="9" borderId="31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left" vertical="center"/>
    </xf>
    <xf numFmtId="0" fontId="3" fillId="9" borderId="0" xfId="0" applyNumberFormat="1" applyFont="1" applyFill="1" applyBorder="1" applyProtection="1">
      <protection locked="0"/>
    </xf>
    <xf numFmtId="0" fontId="3" fillId="9" borderId="0" xfId="0" applyNumberFormat="1" applyFont="1" applyFill="1" applyBorder="1" applyAlignment="1" applyProtection="1">
      <alignment horizontal="center"/>
      <protection locked="0"/>
    </xf>
    <xf numFmtId="0" fontId="39" fillId="9" borderId="0" xfId="0" applyFont="1" applyFill="1"/>
    <xf numFmtId="1" fontId="4" fillId="9" borderId="8" xfId="0" applyNumberFormat="1" applyFont="1" applyFill="1" applyBorder="1" applyAlignment="1">
      <alignment horizontal="center"/>
    </xf>
    <xf numFmtId="1" fontId="4" fillId="9" borderId="6" xfId="0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9" fontId="4" fillId="2" borderId="0" xfId="5" applyFont="1" applyFill="1" applyBorder="1" applyAlignment="1">
      <alignment horizontal="center"/>
    </xf>
    <xf numFmtId="2" fontId="5" fillId="9" borderId="0" xfId="0" applyNumberFormat="1" applyFont="1" applyFill="1" applyBorder="1" applyAlignment="1">
      <alignment horizontal="center"/>
    </xf>
    <xf numFmtId="0" fontId="32" fillId="15" borderId="0" xfId="2" applyFont="1" applyFill="1" applyBorder="1" applyAlignment="1" applyProtection="1"/>
    <xf numFmtId="0" fontId="0" fillId="15" borderId="0" xfId="0" applyFill="1" applyBorder="1"/>
    <xf numFmtId="0" fontId="11" fillId="15" borderId="0" xfId="0" applyFont="1" applyFill="1" applyBorder="1"/>
    <xf numFmtId="0" fontId="11" fillId="15" borderId="19" xfId="0" applyFont="1" applyFill="1" applyBorder="1"/>
    <xf numFmtId="0" fontId="25" fillId="15" borderId="0" xfId="0" applyFont="1" applyFill="1" applyBorder="1"/>
    <xf numFmtId="0" fontId="25" fillId="15" borderId="19" xfId="0" applyFont="1" applyFill="1" applyBorder="1"/>
    <xf numFmtId="0" fontId="24" fillId="15" borderId="0" xfId="2" applyFont="1" applyFill="1" applyBorder="1" applyAlignment="1" applyProtection="1"/>
    <xf numFmtId="0" fontId="24" fillId="15" borderId="19" xfId="2" applyFont="1" applyFill="1" applyBorder="1" applyAlignment="1" applyProtection="1"/>
    <xf numFmtId="0" fontId="4" fillId="15" borderId="0" xfId="0" applyFont="1" applyFill="1" applyBorder="1"/>
    <xf numFmtId="0" fontId="34" fillId="15" borderId="0" xfId="0" applyFont="1" applyFill="1" applyBorder="1"/>
    <xf numFmtId="0" fontId="0" fillId="15" borderId="19" xfId="0" applyFill="1" applyBorder="1"/>
    <xf numFmtId="0" fontId="0" fillId="15" borderId="7" xfId="0" applyFill="1" applyBorder="1"/>
    <xf numFmtId="0" fontId="0" fillId="15" borderId="5" xfId="0" applyFill="1" applyBorder="1"/>
    <xf numFmtId="0" fontId="4" fillId="15" borderId="2" xfId="0" applyFont="1" applyFill="1" applyBorder="1"/>
    <xf numFmtId="0" fontId="4" fillId="15" borderId="1" xfId="0" applyFont="1" applyFill="1" applyBorder="1"/>
    <xf numFmtId="0" fontId="4" fillId="15" borderId="3" xfId="0" applyFont="1" applyFill="1" applyBorder="1"/>
    <xf numFmtId="0" fontId="4" fillId="15" borderId="18" xfId="0" applyFont="1" applyFill="1" applyBorder="1"/>
    <xf numFmtId="0" fontId="4" fillId="15" borderId="19" xfId="0" applyFont="1" applyFill="1" applyBorder="1"/>
    <xf numFmtId="0" fontId="4" fillId="15" borderId="9" xfId="0" applyFont="1" applyFill="1" applyBorder="1"/>
    <xf numFmtId="0" fontId="4" fillId="15" borderId="7" xfId="0" applyFont="1" applyFill="1" applyBorder="1"/>
    <xf numFmtId="0" fontId="4" fillId="15" borderId="5" xfId="0" applyFont="1" applyFill="1" applyBorder="1"/>
    <xf numFmtId="0" fontId="5" fillId="15" borderId="2" xfId="0" applyFont="1" applyFill="1" applyBorder="1"/>
    <xf numFmtId="0" fontId="5" fillId="15" borderId="1" xfId="0" applyFont="1" applyFill="1" applyBorder="1"/>
    <xf numFmtId="0" fontId="5" fillId="15" borderId="3" xfId="0" applyFont="1" applyFill="1" applyBorder="1"/>
    <xf numFmtId="0" fontId="5" fillId="15" borderId="18" xfId="0" applyFont="1" applyFill="1" applyBorder="1"/>
    <xf numFmtId="0" fontId="5" fillId="15" borderId="0" xfId="0" applyFont="1" applyFill="1" applyBorder="1"/>
    <xf numFmtId="0" fontId="5" fillId="15" borderId="19" xfId="0" applyFont="1" applyFill="1" applyBorder="1"/>
    <xf numFmtId="0" fontId="5" fillId="15" borderId="9" xfId="0" applyFont="1" applyFill="1" applyBorder="1" applyProtection="1">
      <protection hidden="1"/>
    </xf>
    <xf numFmtId="0" fontId="5" fillId="15" borderId="7" xfId="0" applyFont="1" applyFill="1" applyBorder="1" applyProtection="1">
      <protection hidden="1"/>
    </xf>
    <xf numFmtId="0" fontId="5" fillId="15" borderId="5" xfId="0" applyFont="1" applyFill="1" applyBorder="1" applyProtection="1">
      <protection hidden="1"/>
    </xf>
    <xf numFmtId="0" fontId="0" fillId="15" borderId="0" xfId="0" applyFill="1" applyBorder="1" applyProtection="1">
      <protection hidden="1"/>
    </xf>
    <xf numFmtId="0" fontId="0" fillId="15" borderId="0" xfId="0" applyNumberFormat="1" applyFill="1" applyBorder="1" applyAlignment="1" applyProtection="1">
      <alignment horizontal="center"/>
      <protection hidden="1"/>
    </xf>
    <xf numFmtId="0" fontId="0" fillId="15" borderId="19" xfId="0" applyFill="1" applyBorder="1" applyAlignment="1" applyProtection="1">
      <alignment horizontal="center"/>
      <protection hidden="1"/>
    </xf>
    <xf numFmtId="0" fontId="0" fillId="15" borderId="0" xfId="0" applyFill="1" applyBorder="1" applyAlignment="1" applyProtection="1">
      <alignment horizontal="center"/>
      <protection hidden="1"/>
    </xf>
    <xf numFmtId="0" fontId="12" fillId="15" borderId="0" xfId="0" applyFont="1" applyFill="1" applyBorder="1" applyAlignment="1">
      <alignment horizontal="center"/>
    </xf>
    <xf numFmtId="0" fontId="5" fillId="9" borderId="1" xfId="0" applyFont="1" applyFill="1" applyBorder="1" applyAlignment="1">
      <alignment vertical="center"/>
    </xf>
    <xf numFmtId="0" fontId="5" fillId="9" borderId="0" xfId="0" applyFont="1" applyFill="1" applyBorder="1" applyAlignment="1">
      <alignment vertical="center"/>
    </xf>
    <xf numFmtId="0" fontId="5" fillId="9" borderId="7" xfId="0" applyFont="1" applyFill="1" applyBorder="1" applyAlignment="1">
      <alignment vertical="center"/>
    </xf>
    <xf numFmtId="0" fontId="5" fillId="9" borderId="22" xfId="0" applyFont="1" applyFill="1" applyBorder="1" applyAlignment="1">
      <alignment vertical="center"/>
    </xf>
    <xf numFmtId="2" fontId="0" fillId="0" borderId="17" xfId="0" applyNumberFormat="1" applyBorder="1" applyProtection="1"/>
    <xf numFmtId="1" fontId="0" fillId="9" borderId="4" xfId="0" applyNumberFormat="1" applyFill="1" applyBorder="1" applyProtection="1"/>
    <xf numFmtId="1" fontId="0" fillId="0" borderId="6" xfId="0" applyNumberFormat="1" applyBorder="1" applyAlignment="1" applyProtection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" xfId="0" applyNumberFormat="1" applyFill="1" applyBorder="1" applyAlignment="1">
      <alignment horizontal="center"/>
    </xf>
    <xf numFmtId="0" fontId="0" fillId="9" borderId="18" xfId="0" applyFill="1" applyBorder="1"/>
    <xf numFmtId="0" fontId="5" fillId="2" borderId="2" xfId="0" applyFont="1" applyFill="1" applyBorder="1"/>
    <xf numFmtId="0" fontId="3" fillId="2" borderId="17" xfId="0" applyFont="1" applyFill="1" applyBorder="1"/>
    <xf numFmtId="0" fontId="0" fillId="9" borderId="9" xfId="0" applyFill="1" applyBorder="1"/>
    <xf numFmtId="0" fontId="0" fillId="9" borderId="7" xfId="0" applyFill="1" applyBorder="1"/>
    <xf numFmtId="0" fontId="5" fillId="9" borderId="7" xfId="0" applyFont="1" applyFill="1" applyBorder="1" applyAlignment="1">
      <alignment horizontal="center"/>
    </xf>
    <xf numFmtId="0" fontId="0" fillId="9" borderId="5" xfId="0" applyFill="1" applyBorder="1"/>
    <xf numFmtId="0" fontId="4" fillId="2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173" fontId="5" fillId="2" borderId="0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73" fontId="13" fillId="9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2" fontId="0" fillId="2" borderId="0" xfId="0" applyNumberFormat="1" applyFill="1" applyBorder="1" applyAlignment="1">
      <alignment horizontal="center" vertical="center"/>
    </xf>
    <xf numFmtId="1" fontId="3" fillId="10" borderId="6" xfId="0" applyNumberFormat="1" applyFont="1" applyFill="1" applyBorder="1" applyAlignment="1">
      <alignment horizontal="center" vertical="center"/>
    </xf>
    <xf numFmtId="2" fontId="3" fillId="9" borderId="6" xfId="0" applyNumberFormat="1" applyFont="1" applyFill="1" applyBorder="1" applyAlignment="1">
      <alignment horizontal="center" vertical="center"/>
    </xf>
    <xf numFmtId="2" fontId="0" fillId="2" borderId="6" xfId="0" applyNumberForma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173" fontId="5" fillId="9" borderId="0" xfId="0" applyNumberFormat="1" applyFont="1" applyFill="1" applyBorder="1" applyAlignment="1">
      <alignment horizontal="center" vertical="center"/>
    </xf>
    <xf numFmtId="0" fontId="0" fillId="9" borderId="6" xfId="0" applyFill="1" applyBorder="1" applyAlignment="1">
      <alignment horizontal="center"/>
    </xf>
    <xf numFmtId="0" fontId="5" fillId="9" borderId="7" xfId="0" applyFont="1" applyFill="1" applyBorder="1"/>
    <xf numFmtId="0" fontId="0" fillId="11" borderId="6" xfId="0" applyFill="1" applyBorder="1" applyProtection="1">
      <protection locked="0"/>
    </xf>
    <xf numFmtId="0" fontId="0" fillId="9" borderId="6" xfId="0" applyFill="1" applyBorder="1" applyAlignment="1">
      <alignment horizontal="right"/>
    </xf>
    <xf numFmtId="2" fontId="3" fillId="2" borderId="6" xfId="0" applyNumberFormat="1" applyFont="1" applyFill="1" applyBorder="1" applyAlignment="1">
      <alignment horizontal="center"/>
    </xf>
    <xf numFmtId="2" fontId="5" fillId="9" borderId="22" xfId="0" applyNumberFormat="1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0" fillId="11" borderId="6" xfId="0" applyFill="1" applyBorder="1" applyAlignment="1" applyProtection="1">
      <alignment horizontal="center"/>
      <protection locked="0"/>
    </xf>
    <xf numFmtId="0" fontId="4" fillId="9" borderId="6" xfId="0" applyFont="1" applyFill="1" applyBorder="1" applyAlignment="1">
      <alignment horizontal="right"/>
    </xf>
    <xf numFmtId="167" fontId="5" fillId="2" borderId="22" xfId="0" applyNumberFormat="1" applyFont="1" applyFill="1" applyBorder="1" applyAlignment="1">
      <alignment horizontal="center"/>
    </xf>
    <xf numFmtId="0" fontId="0" fillId="2" borderId="54" xfId="0" applyFill="1" applyBorder="1" applyAlignment="1">
      <alignment horizontal="center"/>
    </xf>
    <xf numFmtId="2" fontId="0" fillId="2" borderId="20" xfId="0" applyNumberFormat="1" applyFill="1" applyBorder="1" applyAlignment="1">
      <alignment horizontal="center"/>
    </xf>
    <xf numFmtId="2" fontId="3" fillId="9" borderId="20" xfId="0" applyNumberFormat="1" applyFont="1" applyFill="1" applyBorder="1" applyAlignment="1">
      <alignment horizontal="center"/>
    </xf>
    <xf numFmtId="2" fontId="3" fillId="9" borderId="39" xfId="0" applyNumberFormat="1" applyFont="1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1" fontId="0" fillId="10" borderId="31" xfId="0" applyNumberFormat="1" applyFill="1" applyBorder="1" applyAlignment="1">
      <alignment horizontal="center"/>
    </xf>
    <xf numFmtId="2" fontId="5" fillId="2" borderId="22" xfId="0" applyNumberFormat="1" applyFont="1" applyFill="1" applyBorder="1" applyAlignment="1">
      <alignment horizontal="center" vertical="center"/>
    </xf>
    <xf numFmtId="173" fontId="3" fillId="2" borderId="6" xfId="0" applyNumberFormat="1" applyFont="1" applyFill="1" applyBorder="1" applyAlignment="1">
      <alignment horizontal="center"/>
    </xf>
    <xf numFmtId="2" fontId="5" fillId="9" borderId="22" xfId="3" applyNumberFormat="1" applyFont="1" applyFill="1" applyBorder="1" applyAlignment="1">
      <alignment horizontal="center"/>
    </xf>
    <xf numFmtId="173" fontId="3" fillId="9" borderId="22" xfId="0" applyNumberFormat="1" applyFont="1" applyFill="1" applyBorder="1" applyAlignment="1">
      <alignment horizontal="center" vertical="center"/>
    </xf>
    <xf numFmtId="173" fontId="3" fillId="2" borderId="22" xfId="0" applyNumberFormat="1" applyFont="1" applyFill="1" applyBorder="1" applyAlignment="1">
      <alignment horizontal="center" vertical="center"/>
    </xf>
    <xf numFmtId="173" fontId="3" fillId="2" borderId="22" xfId="0" applyNumberFormat="1" applyFont="1" applyFill="1" applyBorder="1"/>
    <xf numFmtId="173" fontId="3" fillId="9" borderId="22" xfId="0" applyNumberFormat="1" applyFont="1" applyFill="1" applyBorder="1" applyAlignment="1">
      <alignment horizontal="center"/>
    </xf>
    <xf numFmtId="168" fontId="3" fillId="2" borderId="35" xfId="0" applyNumberFormat="1" applyFont="1" applyFill="1" applyBorder="1" applyAlignment="1">
      <alignment horizontal="center"/>
    </xf>
    <xf numFmtId="173" fontId="3" fillId="2" borderId="35" xfId="0" applyNumberFormat="1" applyFont="1" applyFill="1" applyBorder="1" applyAlignment="1">
      <alignment horizontal="center"/>
    </xf>
    <xf numFmtId="0" fontId="4" fillId="2" borderId="0" xfId="0" applyFont="1" applyFill="1"/>
    <xf numFmtId="173" fontId="3" fillId="9" borderId="35" xfId="0" applyNumberFormat="1" applyFont="1" applyFill="1" applyBorder="1" applyAlignment="1">
      <alignment horizontal="center"/>
    </xf>
    <xf numFmtId="173" fontId="3" fillId="2" borderId="35" xfId="3" applyNumberFormat="1" applyFont="1" applyFill="1" applyBorder="1" applyAlignment="1">
      <alignment horizontal="center"/>
    </xf>
    <xf numFmtId="173" fontId="3" fillId="9" borderId="32" xfId="0" applyNumberFormat="1" applyFont="1" applyFill="1" applyBorder="1" applyAlignment="1">
      <alignment horizontal="center"/>
    </xf>
    <xf numFmtId="173" fontId="3" fillId="2" borderId="22" xfId="0" applyNumberFormat="1" applyFont="1" applyFill="1" applyBorder="1" applyAlignment="1">
      <alignment horizontal="center"/>
    </xf>
    <xf numFmtId="2" fontId="5" fillId="2" borderId="22" xfId="0" applyNumberFormat="1" applyFont="1" applyFill="1" applyBorder="1" applyAlignment="1">
      <alignment horizontal="center"/>
    </xf>
    <xf numFmtId="0" fontId="4" fillId="10" borderId="6" xfId="0" applyNumberFormat="1" applyFont="1" applyFill="1" applyBorder="1" applyAlignment="1">
      <alignment horizontal="center" vertical="center"/>
    </xf>
    <xf numFmtId="2" fontId="0" fillId="2" borderId="20" xfId="0" applyNumberFormat="1" applyFill="1" applyBorder="1" applyAlignment="1">
      <alignment vertical="center"/>
    </xf>
    <xf numFmtId="49" fontId="3" fillId="11" borderId="8" xfId="0" applyNumberFormat="1" applyFont="1" applyFill="1" applyBorder="1" applyAlignment="1" applyProtection="1">
      <alignment horizontal="center"/>
      <protection locked="0"/>
    </xf>
    <xf numFmtId="49" fontId="3" fillId="11" borderId="17" xfId="0" applyNumberFormat="1" applyFont="1" applyFill="1" applyBorder="1" applyAlignment="1" applyProtection="1">
      <alignment horizontal="center"/>
      <protection locked="0"/>
    </xf>
    <xf numFmtId="49" fontId="3" fillId="11" borderId="4" xfId="0" applyNumberFormat="1" applyFont="1" applyFill="1" applyBorder="1" applyAlignment="1" applyProtection="1">
      <alignment horizontal="center"/>
      <protection locked="0"/>
    </xf>
    <xf numFmtId="49" fontId="3" fillId="11" borderId="8" xfId="0" applyNumberFormat="1" applyFont="1" applyFill="1" applyBorder="1" applyAlignment="1" applyProtection="1">
      <alignment horizontal="center" wrapText="1"/>
      <protection locked="0"/>
    </xf>
    <xf numFmtId="49" fontId="3" fillId="11" borderId="17" xfId="0" applyNumberFormat="1" applyFont="1" applyFill="1" applyBorder="1" applyAlignment="1" applyProtection="1">
      <alignment horizontal="center" wrapText="1"/>
      <protection locked="0"/>
    </xf>
    <xf numFmtId="49" fontId="3" fillId="11" borderId="4" xfId="0" applyNumberFormat="1" applyFont="1" applyFill="1" applyBorder="1" applyAlignment="1" applyProtection="1">
      <alignment horizontal="center" wrapText="1"/>
      <protection locked="0"/>
    </xf>
    <xf numFmtId="2" fontId="5" fillId="2" borderId="7" xfId="0" applyNumberFormat="1" applyFont="1" applyFill="1" applyBorder="1" applyAlignment="1">
      <alignment horizontal="center"/>
    </xf>
    <xf numFmtId="2" fontId="5" fillId="2" borderId="17" xfId="0" applyNumberFormat="1" applyFont="1" applyFill="1" applyBorder="1" applyAlignment="1">
      <alignment horizontal="center"/>
    </xf>
    <xf numFmtId="0" fontId="4" fillId="9" borderId="6" xfId="0" applyFont="1" applyFill="1" applyBorder="1" applyAlignment="1">
      <alignment horizontal="center" vertical="center"/>
    </xf>
    <xf numFmtId="0" fontId="0" fillId="9" borderId="6" xfId="0" applyFill="1" applyBorder="1" applyAlignment="1">
      <alignment horizontal="center" vertical="center"/>
    </xf>
    <xf numFmtId="0" fontId="33" fillId="15" borderId="0" xfId="2" applyFont="1" applyFill="1" applyBorder="1" applyAlignment="1" applyProtection="1">
      <alignment horizontal="left"/>
    </xf>
    <xf numFmtId="0" fontId="4" fillId="2" borderId="6" xfId="3" applyFill="1" applyBorder="1" applyAlignment="1">
      <alignment horizontal="center"/>
    </xf>
    <xf numFmtId="0" fontId="6" fillId="11" borderId="7" xfId="0" applyNumberFormat="1" applyFont="1" applyFill="1" applyBorder="1" applyAlignment="1" applyProtection="1">
      <alignment horizontal="center"/>
      <protection locked="0"/>
    </xf>
    <xf numFmtId="0" fontId="9" fillId="11" borderId="7" xfId="0" applyNumberFormat="1" applyFont="1" applyFill="1" applyBorder="1" applyAlignment="1" applyProtection="1">
      <alignment horizontal="center"/>
      <protection locked="0"/>
    </xf>
    <xf numFmtId="16" fontId="4" fillId="2" borderId="6" xfId="3" applyNumberFormat="1" applyFill="1" applyBorder="1" applyAlignment="1">
      <alignment horizontal="center"/>
    </xf>
    <xf numFmtId="49" fontId="6" fillId="11" borderId="7" xfId="0" applyNumberFormat="1" applyFont="1" applyFill="1" applyBorder="1" applyAlignment="1" applyProtection="1">
      <alignment horizontal="center"/>
      <protection locked="0"/>
    </xf>
    <xf numFmtId="49" fontId="9" fillId="11" borderId="7" xfId="0" applyNumberFormat="1" applyFont="1" applyFill="1" applyBorder="1" applyAlignment="1" applyProtection="1">
      <alignment horizontal="center"/>
      <protection locked="0"/>
    </xf>
    <xf numFmtId="0" fontId="3" fillId="2" borderId="20" xfId="0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center" wrapText="1"/>
    </xf>
    <xf numFmtId="0" fontId="4" fillId="9" borderId="0" xfId="3" applyFill="1" applyBorder="1" applyAlignment="1">
      <alignment horizontal="center"/>
    </xf>
    <xf numFmtId="0" fontId="4" fillId="2" borderId="19" xfId="3" applyFill="1" applyBorder="1" applyAlignment="1">
      <alignment horizontal="center"/>
    </xf>
    <xf numFmtId="0" fontId="0" fillId="2" borderId="17" xfId="0" applyFill="1" applyBorder="1" applyAlignment="1">
      <alignment horizontal="left"/>
    </xf>
    <xf numFmtId="9" fontId="5" fillId="2" borderId="8" xfId="0" applyNumberFormat="1" applyFont="1" applyFill="1" applyBorder="1" applyAlignment="1">
      <alignment horizontal="center"/>
    </xf>
    <xf numFmtId="9" fontId="5" fillId="2" borderId="4" xfId="0" applyNumberFormat="1" applyFon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49" fontId="0" fillId="11" borderId="8" xfId="0" applyNumberFormat="1" applyFill="1" applyBorder="1" applyAlignment="1" applyProtection="1">
      <alignment horizontal="center" wrapText="1"/>
      <protection locked="0"/>
    </xf>
    <xf numFmtId="49" fontId="0" fillId="11" borderId="17" xfId="0" applyNumberFormat="1" applyFill="1" applyBorder="1" applyAlignment="1" applyProtection="1">
      <alignment horizontal="center" wrapText="1"/>
      <protection locked="0"/>
    </xf>
    <xf numFmtId="49" fontId="0" fillId="11" borderId="4" xfId="0" applyNumberFormat="1" applyFill="1" applyBorder="1" applyAlignment="1" applyProtection="1">
      <alignment horizontal="center" wrapText="1"/>
      <protection locked="0"/>
    </xf>
    <xf numFmtId="2" fontId="5" fillId="2" borderId="0" xfId="0" applyNumberFormat="1" applyFont="1" applyFill="1" applyBorder="1" applyAlignment="1">
      <alignment horizontal="right"/>
    </xf>
    <xf numFmtId="0" fontId="4" fillId="2" borderId="6" xfId="0" applyFont="1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9" fontId="5" fillId="2" borderId="0" xfId="0" applyNumberFormat="1" applyFont="1" applyFill="1" applyBorder="1" applyAlignment="1">
      <alignment horizontal="center"/>
    </xf>
    <xf numFmtId="9" fontId="5" fillId="2" borderId="6" xfId="0" applyNumberFormat="1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49" fontId="4" fillId="11" borderId="8" xfId="0" applyNumberFormat="1" applyFont="1" applyFill="1" applyBorder="1" applyAlignment="1" applyProtection="1">
      <alignment horizontal="center" wrapText="1"/>
      <protection locked="0"/>
    </xf>
    <xf numFmtId="0" fontId="4" fillId="2" borderId="7" xfId="3" applyFill="1" applyBorder="1" applyAlignment="1">
      <alignment horizontal="center"/>
    </xf>
    <xf numFmtId="0" fontId="4" fillId="2" borderId="5" xfId="3" applyFill="1" applyBorder="1" applyAlignment="1">
      <alignment horizontal="center"/>
    </xf>
    <xf numFmtId="49" fontId="0" fillId="11" borderId="7" xfId="0" applyNumberFormat="1" applyFill="1" applyBorder="1" applyAlignment="1" applyProtection="1">
      <alignment horizontal="center"/>
      <protection locked="0"/>
    </xf>
    <xf numFmtId="167" fontId="0" fillId="2" borderId="17" xfId="0" applyNumberFormat="1" applyFill="1" applyBorder="1" applyAlignment="1">
      <alignment horizontal="center"/>
    </xf>
    <xf numFmtId="167" fontId="0" fillId="2" borderId="4" xfId="0" applyNumberFormat="1" applyFill="1" applyBorder="1" applyAlignment="1">
      <alignment horizontal="center"/>
    </xf>
    <xf numFmtId="0" fontId="4" fillId="9" borderId="1" xfId="3" applyFill="1" applyBorder="1" applyAlignment="1">
      <alignment horizontal="center"/>
    </xf>
    <xf numFmtId="0" fontId="4" fillId="9" borderId="3" xfId="3" applyFill="1" applyBorder="1" applyAlignment="1">
      <alignment horizontal="center"/>
    </xf>
    <xf numFmtId="0" fontId="4" fillId="2" borderId="61" xfId="0" applyFont="1" applyFill="1" applyBorder="1" applyAlignment="1">
      <alignment horizontal="center"/>
    </xf>
    <xf numFmtId="0" fontId="0" fillId="2" borderId="61" xfId="0" applyFill="1" applyBorder="1" applyAlignment="1">
      <alignment horizontal="center"/>
    </xf>
    <xf numFmtId="0" fontId="3" fillId="2" borderId="0" xfId="0" applyNumberFormat="1" applyFont="1" applyFill="1" applyBorder="1" applyAlignment="1">
      <alignment horizontal="left" vertical="center" wrapText="1"/>
    </xf>
    <xf numFmtId="0" fontId="4" fillId="9" borderId="0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wrapText="1"/>
    </xf>
    <xf numFmtId="0" fontId="4" fillId="2" borderId="13" xfId="0" applyFont="1" applyFill="1" applyBorder="1" applyAlignment="1">
      <alignment horizontal="center" wrapText="1"/>
    </xf>
    <xf numFmtId="0" fontId="4" fillId="2" borderId="14" xfId="0" applyFont="1" applyFill="1" applyBorder="1" applyAlignment="1">
      <alignment horizontal="center" wrapText="1"/>
    </xf>
    <xf numFmtId="0" fontId="4" fillId="2" borderId="40" xfId="0" applyFont="1" applyFill="1" applyBorder="1" applyAlignment="1">
      <alignment horizontal="center" wrapText="1"/>
    </xf>
    <xf numFmtId="0" fontId="4" fillId="2" borderId="61" xfId="0" applyFont="1" applyFill="1" applyBorder="1" applyAlignment="1">
      <alignment horizontal="center" wrapText="1"/>
    </xf>
    <xf numFmtId="0" fontId="4" fillId="2" borderId="62" xfId="0" applyFont="1" applyFill="1" applyBorder="1" applyAlignment="1">
      <alignment horizontal="center" wrapText="1"/>
    </xf>
    <xf numFmtId="0" fontId="5" fillId="2" borderId="8" xfId="0" applyNumberFormat="1" applyFont="1" applyFill="1" applyBorder="1" applyAlignment="1">
      <alignment horizontal="center" wrapText="1"/>
    </xf>
    <xf numFmtId="0" fontId="5" fillId="2" borderId="17" xfId="0" applyNumberFormat="1" applyFont="1" applyFill="1" applyBorder="1" applyAlignment="1">
      <alignment horizontal="center" wrapText="1"/>
    </xf>
    <xf numFmtId="0" fontId="5" fillId="2" borderId="4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/>
    </xf>
    <xf numFmtId="0" fontId="4" fillId="2" borderId="26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wrapText="1"/>
    </xf>
    <xf numFmtId="0" fontId="3" fillId="2" borderId="9" xfId="0" applyFont="1" applyFill="1" applyBorder="1" applyAlignment="1">
      <alignment horizontal="center" wrapText="1"/>
    </xf>
    <xf numFmtId="167" fontId="4" fillId="2" borderId="6" xfId="0" applyNumberFormat="1" applyFont="1" applyFill="1" applyBorder="1" applyAlignment="1">
      <alignment horizontal="center" wrapText="1"/>
    </xf>
    <xf numFmtId="167" fontId="0" fillId="2" borderId="6" xfId="0" applyNumberForma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5" fillId="2" borderId="63" xfId="0" applyNumberFormat="1" applyFont="1" applyFill="1" applyBorder="1" applyAlignment="1">
      <alignment horizontal="center" wrapText="1"/>
    </xf>
    <xf numFmtId="0" fontId="3" fillId="2" borderId="54" xfId="0" applyFont="1" applyFill="1" applyBorder="1" applyAlignment="1">
      <alignment horizontal="center" wrapText="1"/>
    </xf>
    <xf numFmtId="0" fontId="3" fillId="2" borderId="51" xfId="0" applyFont="1" applyFill="1" applyBorder="1" applyAlignment="1">
      <alignment horizontal="center" wrapText="1"/>
    </xf>
    <xf numFmtId="0" fontId="18" fillId="9" borderId="0" xfId="2" applyFont="1" applyFill="1" applyAlignment="1" applyProtection="1">
      <alignment horizontal="center"/>
    </xf>
    <xf numFmtId="2" fontId="4" fillId="0" borderId="17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4" fillId="0" borderId="8" xfId="0" applyNumberFormat="1" applyFon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1" fontId="3" fillId="9" borderId="8" xfId="0" applyNumberFormat="1" applyFont="1" applyFill="1" applyBorder="1" applyAlignment="1">
      <alignment horizontal="left" wrapText="1"/>
    </xf>
    <xf numFmtId="1" fontId="3" fillId="9" borderId="17" xfId="0" applyNumberFormat="1" applyFont="1" applyFill="1" applyBorder="1" applyAlignment="1">
      <alignment horizontal="left" wrapText="1"/>
    </xf>
    <xf numFmtId="1" fontId="3" fillId="9" borderId="4" xfId="0" applyNumberFormat="1" applyFont="1" applyFill="1" applyBorder="1" applyAlignment="1">
      <alignment horizontal="left" wrapText="1"/>
    </xf>
    <xf numFmtId="0" fontId="4" fillId="7" borderId="59" xfId="0" applyFont="1" applyFill="1" applyBorder="1" applyAlignment="1" applyProtection="1">
      <alignment horizontal="center" vertical="center"/>
    </xf>
    <xf numFmtId="0" fontId="4" fillId="7" borderId="25" xfId="0" applyFont="1" applyFill="1" applyBorder="1" applyAlignment="1" applyProtection="1">
      <alignment horizontal="center" vertical="center"/>
    </xf>
    <xf numFmtId="0" fontId="4" fillId="8" borderId="59" xfId="0" applyFont="1" applyFill="1" applyBorder="1" applyAlignment="1" applyProtection="1">
      <alignment horizontal="center" vertical="center"/>
    </xf>
    <xf numFmtId="0" fontId="4" fillId="8" borderId="25" xfId="0" applyFont="1" applyFill="1" applyBorder="1" applyAlignment="1" applyProtection="1">
      <alignment horizontal="center" vertical="center"/>
    </xf>
    <xf numFmtId="0" fontId="4" fillId="0" borderId="59" xfId="0" applyFont="1" applyFill="1" applyBorder="1" applyAlignment="1" applyProtection="1">
      <alignment horizontal="center" vertical="center"/>
    </xf>
    <xf numFmtId="0" fontId="4" fillId="0" borderId="25" xfId="0" applyFont="1" applyFill="1" applyBorder="1" applyAlignment="1" applyProtection="1">
      <alignment horizontal="center" vertical="center"/>
    </xf>
    <xf numFmtId="0" fontId="13" fillId="14" borderId="33" xfId="0" applyFont="1" applyFill="1" applyBorder="1" applyAlignment="1" applyProtection="1">
      <alignment horizontal="left" wrapText="1"/>
    </xf>
    <xf numFmtId="0" fontId="13" fillId="14" borderId="57" xfId="0" applyFont="1" applyFill="1" applyBorder="1" applyAlignment="1" applyProtection="1">
      <alignment horizontal="left" wrapText="1"/>
    </xf>
    <xf numFmtId="0" fontId="13" fillId="14" borderId="34" xfId="0" applyFont="1" applyFill="1" applyBorder="1" applyAlignment="1" applyProtection="1">
      <alignment horizontal="left" wrapText="1"/>
    </xf>
    <xf numFmtId="0" fontId="13" fillId="13" borderId="33" xfId="0" applyFont="1" applyFill="1" applyBorder="1" applyAlignment="1" applyProtection="1">
      <alignment horizontal="left" wrapText="1"/>
    </xf>
    <xf numFmtId="0" fontId="13" fillId="13" borderId="57" xfId="0" applyFont="1" applyFill="1" applyBorder="1" applyAlignment="1" applyProtection="1">
      <alignment horizontal="left" wrapText="1"/>
    </xf>
    <xf numFmtId="0" fontId="13" fillId="13" borderId="34" xfId="0" applyFont="1" applyFill="1" applyBorder="1" applyAlignment="1" applyProtection="1">
      <alignment horizontal="left" wrapText="1"/>
    </xf>
    <xf numFmtId="0" fontId="4" fillId="9" borderId="40" xfId="2" applyNumberFormat="1" applyFont="1" applyFill="1" applyBorder="1" applyAlignment="1" applyProtection="1">
      <alignment horizontal="center"/>
    </xf>
    <xf numFmtId="0" fontId="4" fillId="9" borderId="61" xfId="2" applyNumberFormat="1" applyFont="1" applyFill="1" applyBorder="1" applyAlignment="1" applyProtection="1">
      <alignment horizontal="center"/>
    </xf>
    <xf numFmtId="0" fontId="7" fillId="9" borderId="0" xfId="0" applyFont="1" applyFill="1" applyAlignment="1">
      <alignment horizontal="center"/>
    </xf>
    <xf numFmtId="0" fontId="4" fillId="9" borderId="33" xfId="2" applyNumberFormat="1" applyFont="1" applyFill="1" applyBorder="1" applyAlignment="1" applyProtection="1">
      <alignment horizontal="center" wrapText="1"/>
    </xf>
    <xf numFmtId="0" fontId="4" fillId="9" borderId="57" xfId="2" applyNumberFormat="1" applyFont="1" applyFill="1" applyBorder="1" applyAlignment="1" applyProtection="1">
      <alignment horizontal="center" wrapText="1"/>
    </xf>
    <xf numFmtId="0" fontId="4" fillId="9" borderId="60" xfId="2" applyNumberFormat="1" applyFont="1" applyFill="1" applyBorder="1" applyAlignment="1" applyProtection="1">
      <alignment horizontal="center" wrapText="1"/>
    </xf>
    <xf numFmtId="2" fontId="9" fillId="9" borderId="22" xfId="0" applyNumberFormat="1" applyFont="1" applyFill="1" applyBorder="1"/>
    <xf numFmtId="49" fontId="28" fillId="9" borderId="7" xfId="0" applyNumberFormat="1" applyFont="1" applyFill="1" applyBorder="1" applyAlignment="1" applyProtection="1">
      <alignment horizontal="left"/>
    </xf>
    <xf numFmtId="0" fontId="4" fillId="9" borderId="7" xfId="0" applyFont="1" applyFill="1" applyBorder="1" applyAlignment="1" applyProtection="1">
      <alignment horizontal="left"/>
    </xf>
    <xf numFmtId="0" fontId="4" fillId="11" borderId="8" xfId="2" applyFont="1" applyFill="1" applyBorder="1" applyAlignment="1" applyProtection="1">
      <alignment horizontal="center"/>
      <protection locked="0"/>
    </xf>
    <xf numFmtId="0" fontId="4" fillId="11" borderId="17" xfId="2" applyFont="1" applyFill="1" applyBorder="1" applyAlignment="1" applyProtection="1">
      <alignment horizontal="center"/>
      <protection locked="0"/>
    </xf>
    <xf numFmtId="0" fontId="4" fillId="11" borderId="4" xfId="2" applyFont="1" applyFill="1" applyBorder="1" applyAlignment="1" applyProtection="1">
      <alignment horizontal="center"/>
      <protection locked="0"/>
    </xf>
    <xf numFmtId="0" fontId="5" fillId="10" borderId="7" xfId="0" applyNumberFormat="1" applyFont="1" applyFill="1" applyBorder="1" applyAlignment="1" applyProtection="1">
      <alignment horizontal="center"/>
    </xf>
    <xf numFmtId="0" fontId="3" fillId="9" borderId="20" xfId="0" applyFont="1" applyFill="1" applyBorder="1" applyAlignment="1">
      <alignment horizontal="left" wrapText="1"/>
    </xf>
    <xf numFmtId="0" fontId="3" fillId="9" borderId="11" xfId="0" applyFont="1" applyFill="1" applyBorder="1" applyAlignment="1">
      <alignment horizontal="left" wrapText="1"/>
    </xf>
    <xf numFmtId="2" fontId="13" fillId="10" borderId="7" xfId="0" applyNumberFormat="1" applyFont="1" applyFill="1" applyBorder="1" applyAlignment="1">
      <alignment horizontal="center"/>
    </xf>
    <xf numFmtId="0" fontId="17" fillId="9" borderId="0" xfId="2" applyFill="1" applyAlignment="1" applyProtection="1">
      <alignment horizontal="center" wrapText="1"/>
    </xf>
    <xf numFmtId="2" fontId="4" fillId="9" borderId="1" xfId="0" applyNumberFormat="1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2" fontId="5" fillId="10" borderId="17" xfId="0" applyNumberFormat="1" applyFont="1" applyFill="1" applyBorder="1" applyAlignment="1">
      <alignment horizontal="center"/>
    </xf>
    <xf numFmtId="0" fontId="5" fillId="10" borderId="17" xfId="0" applyFont="1" applyFill="1" applyBorder="1" applyAlignment="1">
      <alignment horizontal="center"/>
    </xf>
    <xf numFmtId="0" fontId="5" fillId="13" borderId="8" xfId="2" applyNumberFormat="1" applyFont="1" applyFill="1" applyBorder="1" applyAlignment="1" applyProtection="1">
      <alignment horizontal="left" wrapText="1"/>
    </xf>
    <xf numFmtId="0" fontId="4" fillId="13" borderId="17" xfId="2" applyNumberFormat="1" applyFont="1" applyFill="1" applyBorder="1" applyAlignment="1" applyProtection="1">
      <alignment horizontal="left" wrapText="1"/>
    </xf>
    <xf numFmtId="0" fontId="4" fillId="13" borderId="4" xfId="2" applyNumberFormat="1" applyFont="1" applyFill="1" applyBorder="1" applyAlignment="1" applyProtection="1">
      <alignment horizontal="left" wrapText="1"/>
    </xf>
    <xf numFmtId="0" fontId="5" fillId="14" borderId="8" xfId="2" applyNumberFormat="1" applyFont="1" applyFill="1" applyBorder="1" applyAlignment="1" applyProtection="1">
      <alignment horizontal="left" wrapText="1"/>
    </xf>
    <xf numFmtId="0" fontId="5" fillId="14" borderId="17" xfId="2" applyNumberFormat="1" applyFont="1" applyFill="1" applyBorder="1" applyAlignment="1" applyProtection="1">
      <alignment horizontal="left" wrapText="1"/>
    </xf>
    <xf numFmtId="0" fontId="5" fillId="14" borderId="4" xfId="2" applyNumberFormat="1" applyFont="1" applyFill="1" applyBorder="1" applyAlignment="1" applyProtection="1">
      <alignment horizontal="left" wrapText="1"/>
    </xf>
  </cellXfs>
  <cellStyles count="6">
    <cellStyle name="Erotin 2" xfId="1" xr:uid="{00000000-0005-0000-0000-000000000000}"/>
    <cellStyle name="Hyperlinkki" xfId="2" builtinId="8"/>
    <cellStyle name="Normaali" xfId="0" builtinId="0"/>
    <cellStyle name="Normaali 2 2" xfId="3" xr:uid="{00000000-0005-0000-0000-000003000000}"/>
    <cellStyle name="Pilkku [0]" xfId="4" builtinId="6"/>
    <cellStyle name="Prosenttia" xfId="5" builtinId="5"/>
  </cellStyles>
  <dxfs count="0"/>
  <tableStyles count="0" defaultTableStyle="TableStyleMedium9" defaultPivotStyle="PivotStyleLight16"/>
  <colors>
    <mruColors>
      <color rgb="FFCCFFCC"/>
      <color rgb="FFF97439"/>
      <color rgb="FFF9885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6</xdr:row>
      <xdr:rowOff>0</xdr:rowOff>
    </xdr:from>
    <xdr:to>
      <xdr:col>8</xdr:col>
      <xdr:colOff>200025</xdr:colOff>
      <xdr:row>6</xdr:row>
      <xdr:rowOff>38100</xdr:rowOff>
    </xdr:to>
    <xdr:sp macro="" textlink="">
      <xdr:nvSpPr>
        <xdr:cNvPr id="27160" name="Text Box 20">
          <a:extLst>
            <a:ext uri="{FF2B5EF4-FFF2-40B4-BE49-F238E27FC236}">
              <a16:creationId xmlns:a16="http://schemas.microsoft.com/office/drawing/2014/main" id="{E981EB2E-6CC0-48E6-9EB8-F9B3E41B645C}"/>
            </a:ext>
          </a:extLst>
        </xdr:cNvPr>
        <xdr:cNvSpPr txBox="1">
          <a:spLocks noChangeArrowheads="1"/>
        </xdr:cNvSpPr>
      </xdr:nvSpPr>
      <xdr:spPr bwMode="auto">
        <a:xfrm>
          <a:off x="3886200" y="1285875"/>
          <a:ext cx="857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226695</xdr:colOff>
      <xdr:row>0</xdr:row>
      <xdr:rowOff>104775</xdr:rowOff>
    </xdr:from>
    <xdr:to>
      <xdr:col>16</xdr:col>
      <xdr:colOff>277746</xdr:colOff>
      <xdr:row>0</xdr:row>
      <xdr:rowOff>140589</xdr:rowOff>
    </xdr:to>
    <xdr:sp macro="" textlink="">
      <xdr:nvSpPr>
        <xdr:cNvPr id="1046" name="Text Box 22">
          <a:extLst>
            <a:ext uri="{FF2B5EF4-FFF2-40B4-BE49-F238E27FC236}">
              <a16:creationId xmlns:a16="http://schemas.microsoft.com/office/drawing/2014/main" id="{137B2745-8372-4A75-99B4-1C82EA1E1502}"/>
            </a:ext>
          </a:extLst>
        </xdr:cNvPr>
        <xdr:cNvSpPr txBox="1">
          <a:spLocks noChangeArrowheads="1"/>
        </xdr:cNvSpPr>
      </xdr:nvSpPr>
      <xdr:spPr bwMode="auto">
        <a:xfrm>
          <a:off x="3143250" y="104775"/>
          <a:ext cx="49244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3152" tIns="77724" rIns="0" bIns="0" anchor="t" upright="1"/>
        <a:lstStyle/>
        <a:p>
          <a:pPr algn="l" rtl="0">
            <a:defRPr sz="1000"/>
          </a:pPr>
          <a:endParaRPr lang="fi-FI" sz="3600" b="1" i="0" strike="noStrike">
            <a:solidFill>
              <a:srgbClr val="000000"/>
            </a:solidFill>
            <a:latin typeface="Franklin Gothic Medium Cond"/>
          </a:endParaRPr>
        </a:p>
        <a:p>
          <a:pPr algn="l" rtl="0">
            <a:defRPr sz="1000"/>
          </a:pPr>
          <a:r>
            <a:rPr lang="fi-FI" sz="3600" b="1" i="0" strike="noStrike">
              <a:solidFill>
                <a:srgbClr val="000000"/>
              </a:solidFill>
              <a:latin typeface="Franklin Gothic Medium Cond"/>
            </a:rPr>
            <a:t>RAKENNUSLIITTO </a:t>
          </a:r>
          <a:endParaRPr lang="fi-FI" sz="2200" b="1" i="0" strike="noStrike">
            <a:solidFill>
              <a:srgbClr val="000000"/>
            </a:solidFill>
            <a:latin typeface="Franklin Gothic Medium Cond"/>
          </a:endParaRPr>
        </a:p>
        <a:p>
          <a:pPr algn="l" rtl="0">
            <a:defRPr sz="1000"/>
          </a:pPr>
          <a:r>
            <a:rPr lang="fi-FI" sz="2200" b="1" i="0" strike="noStrike">
              <a:solidFill>
                <a:srgbClr val="000000"/>
              </a:solidFill>
              <a:latin typeface="Franklin Gothic Medium Cond"/>
            </a:rPr>
            <a:t>ilmastointialan urakkahinnoittelun mittauspöytäkirja</a:t>
          </a:r>
        </a:p>
        <a:p>
          <a:pPr algn="l" rtl="0">
            <a:defRPr sz="1000"/>
          </a:pPr>
          <a:r>
            <a:rPr lang="fi-FI" sz="1400" b="1" i="0" strike="noStrike">
              <a:solidFill>
                <a:srgbClr val="000000"/>
              </a:solidFill>
              <a:latin typeface="Franklin Gothic Medium Cond"/>
            </a:rPr>
            <a:t> </a:t>
          </a:r>
        </a:p>
      </xdr:txBody>
    </xdr:sp>
    <xdr:clientData/>
  </xdr:twoCellAnchor>
  <xdr:twoCellAnchor editAs="oneCell">
    <xdr:from>
      <xdr:col>5</xdr:col>
      <xdr:colOff>121920</xdr:colOff>
      <xdr:row>36</xdr:row>
      <xdr:rowOff>57150</xdr:rowOff>
    </xdr:from>
    <xdr:to>
      <xdr:col>15</xdr:col>
      <xdr:colOff>198120</xdr:colOff>
      <xdr:row>40</xdr:row>
      <xdr:rowOff>66675</xdr:rowOff>
    </xdr:to>
    <xdr:sp macro="" textlink="">
      <xdr:nvSpPr>
        <xdr:cNvPr id="19" name="Text Box 22">
          <a:extLst>
            <a:ext uri="{FF2B5EF4-FFF2-40B4-BE49-F238E27FC236}">
              <a16:creationId xmlns:a16="http://schemas.microsoft.com/office/drawing/2014/main" id="{1BA53A9E-8E54-40D9-B5CB-7C9B765C12F7}"/>
            </a:ext>
          </a:extLst>
        </xdr:cNvPr>
        <xdr:cNvSpPr txBox="1">
          <a:spLocks noChangeArrowheads="1"/>
        </xdr:cNvSpPr>
      </xdr:nvSpPr>
      <xdr:spPr bwMode="auto">
        <a:xfrm>
          <a:off x="2579370" y="7839075"/>
          <a:ext cx="52101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3152" tIns="77724" rIns="0" bIns="0" anchor="t" upright="1"/>
        <a:lstStyle/>
        <a:p>
          <a:pPr algn="l" rtl="0">
            <a:defRPr sz="1000"/>
          </a:pPr>
          <a:r>
            <a:rPr lang="fi-FI" sz="2200" b="1" i="0" strike="noStrike">
              <a:solidFill>
                <a:srgbClr val="000000"/>
              </a:solidFill>
              <a:latin typeface="Franklin Gothic Medium Cond"/>
            </a:rPr>
            <a:t>Ilmastointialan urakkamittauspöytäkirja</a:t>
          </a:r>
        </a:p>
        <a:p>
          <a:pPr algn="l" rtl="0">
            <a:defRPr sz="1000"/>
          </a:pPr>
          <a:r>
            <a:rPr lang="fi-FI" sz="1400" b="1" i="0" strike="noStrike">
              <a:solidFill>
                <a:srgbClr val="000000"/>
              </a:solidFill>
              <a:latin typeface="Franklin Gothic Medium Cond"/>
            </a:rPr>
            <a:t> </a:t>
          </a:r>
        </a:p>
      </xdr:txBody>
    </xdr:sp>
    <xdr:clientData/>
  </xdr:twoCellAnchor>
  <xdr:twoCellAnchor editAs="oneCell">
    <xdr:from>
      <xdr:col>7</xdr:col>
      <xdr:colOff>281940</xdr:colOff>
      <xdr:row>6</xdr:row>
      <xdr:rowOff>57151</xdr:rowOff>
    </xdr:from>
    <xdr:to>
      <xdr:col>18</xdr:col>
      <xdr:colOff>133350</xdr:colOff>
      <xdr:row>8</xdr:row>
      <xdr:rowOff>142875</xdr:rowOff>
    </xdr:to>
    <xdr:sp macro="" textlink="">
      <xdr:nvSpPr>
        <xdr:cNvPr id="6" name="Text Box 22">
          <a:extLst>
            <a:ext uri="{FF2B5EF4-FFF2-40B4-BE49-F238E27FC236}">
              <a16:creationId xmlns:a16="http://schemas.microsoft.com/office/drawing/2014/main" id="{04B1760E-81EE-4DF7-9998-38A9ADA583D1}"/>
            </a:ext>
          </a:extLst>
        </xdr:cNvPr>
        <xdr:cNvSpPr txBox="1">
          <a:spLocks noChangeArrowheads="1"/>
        </xdr:cNvSpPr>
      </xdr:nvSpPr>
      <xdr:spPr bwMode="auto">
        <a:xfrm>
          <a:off x="3760636" y="1340955"/>
          <a:ext cx="5905997" cy="4998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3152" tIns="77724" rIns="0" bIns="0" anchor="t" upright="1"/>
        <a:lstStyle/>
        <a:p>
          <a:pPr algn="l" rtl="0">
            <a:lnSpc>
              <a:spcPts val="2100"/>
            </a:lnSpc>
            <a:defRPr sz="1000"/>
          </a:pPr>
          <a:r>
            <a:rPr lang="fi-FI" sz="2300" b="1" i="0" u="sng" strike="noStrike">
              <a:solidFill>
                <a:srgbClr val="000000"/>
              </a:solidFill>
              <a:latin typeface="Franklin Gothic Medium Cond"/>
            </a:rPr>
            <a:t>Ilmastointialan urakan</a:t>
          </a:r>
          <a:r>
            <a:rPr lang="fi-FI" sz="2300" b="1" i="0" u="sng" strike="noStrike" baseline="0">
              <a:solidFill>
                <a:srgbClr val="000000"/>
              </a:solidFill>
              <a:latin typeface="Franklin Gothic Medium Cond"/>
            </a:rPr>
            <a:t>mittausohjelma 2022 - 2024</a:t>
          </a:r>
          <a:r>
            <a:rPr lang="fi-FI" sz="2300" b="1" i="0" strike="noStrike">
              <a:solidFill>
                <a:srgbClr val="000000"/>
              </a:solidFill>
              <a:latin typeface="Franklin Gothic Medium Cond"/>
            </a:rPr>
            <a:t> </a:t>
          </a:r>
        </a:p>
      </xdr:txBody>
    </xdr:sp>
    <xdr:clientData/>
  </xdr:twoCellAnchor>
  <xdr:twoCellAnchor editAs="oneCell">
    <xdr:from>
      <xdr:col>5</xdr:col>
      <xdr:colOff>352425</xdr:colOff>
      <xdr:row>1</xdr:row>
      <xdr:rowOff>9525</xdr:rowOff>
    </xdr:from>
    <xdr:to>
      <xdr:col>13</xdr:col>
      <xdr:colOff>400050</xdr:colOff>
      <xdr:row>4</xdr:row>
      <xdr:rowOff>180975</xdr:rowOff>
    </xdr:to>
    <xdr:pic>
      <xdr:nvPicPr>
        <xdr:cNvPr id="27164" name="Kuva 8" descr="suomi-ruotsi-vaaka-gif.gif">
          <a:extLst>
            <a:ext uri="{FF2B5EF4-FFF2-40B4-BE49-F238E27FC236}">
              <a16:creationId xmlns:a16="http://schemas.microsoft.com/office/drawing/2014/main" id="{DFBD4DC1-E9F0-4A0A-9601-0B5B08F40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219075"/>
          <a:ext cx="3924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0</xdr:row>
      <xdr:rowOff>161925</xdr:rowOff>
    </xdr:from>
    <xdr:to>
      <xdr:col>4</xdr:col>
      <xdr:colOff>276225</xdr:colOff>
      <xdr:row>2</xdr:row>
      <xdr:rowOff>19050</xdr:rowOff>
    </xdr:to>
    <xdr:pic>
      <xdr:nvPicPr>
        <xdr:cNvPr id="27165" name="Kuva 9" descr="suomi-vaaka-väri_gif.gif">
          <a:extLst>
            <a:ext uri="{FF2B5EF4-FFF2-40B4-BE49-F238E27FC236}">
              <a16:creationId xmlns:a16="http://schemas.microsoft.com/office/drawing/2014/main" id="{EBE1FB66-7ECB-4A9D-A907-2A9A5BCCB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61925"/>
          <a:ext cx="1914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32</xdr:row>
      <xdr:rowOff>219075</xdr:rowOff>
    </xdr:from>
    <xdr:to>
      <xdr:col>6</xdr:col>
      <xdr:colOff>104775</xdr:colOff>
      <xdr:row>35</xdr:row>
      <xdr:rowOff>133350</xdr:rowOff>
    </xdr:to>
    <xdr:pic>
      <xdr:nvPicPr>
        <xdr:cNvPr id="27166" name="Kuva 10" descr="suomi-ruotsi-vaaka-v.JPG">
          <a:extLst>
            <a:ext uri="{FF2B5EF4-FFF2-40B4-BE49-F238E27FC236}">
              <a16:creationId xmlns:a16="http://schemas.microsoft.com/office/drawing/2014/main" id="{F3D3C47F-4190-4928-AB9B-889095776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153275"/>
          <a:ext cx="26574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133350</xdr:colOff>
      <xdr:row>8</xdr:row>
      <xdr:rowOff>198370</xdr:rowOff>
    </xdr:from>
    <xdr:to>
      <xdr:col>18</xdr:col>
      <xdr:colOff>9525</xdr:colOff>
      <xdr:row>23</xdr:row>
      <xdr:rowOff>66865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D822CF0-C99B-44E6-9CDD-774CBB98D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3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4638675" y="1903345"/>
          <a:ext cx="4914900" cy="3268920"/>
        </a:xfrm>
        <a:prstGeom prst="rect">
          <a:avLst/>
        </a:prstGeom>
        <a:effectLst>
          <a:softEdge rad="1778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1058"/>
  <sheetViews>
    <sheetView tabSelected="1" view="pageLayout" zoomScale="115" zoomScaleNormal="100" zoomScalePageLayoutView="115" workbookViewId="0">
      <selection activeCell="R34" sqref="R34"/>
    </sheetView>
  </sheetViews>
  <sheetFormatPr defaultRowHeight="33" x14ac:dyDescent="0.45"/>
  <cols>
    <col min="1" max="1" width="5.5703125" style="18" customWidth="1"/>
    <col min="2" max="2" width="7.42578125" style="19" customWidth="1"/>
    <col min="3" max="4" width="7.28515625" style="19" customWidth="1"/>
    <col min="5" max="6" width="7.28515625" style="20" customWidth="1"/>
    <col min="7" max="7" width="7.28515625" style="88" customWidth="1"/>
    <col min="8" max="8" width="7.140625" style="18" customWidth="1"/>
    <col min="9" max="15" width="7.28515625" style="18" customWidth="1"/>
    <col min="16" max="16" width="8.140625" style="18" customWidth="1"/>
    <col min="17" max="17" width="7.28515625" style="18" customWidth="1"/>
    <col min="18" max="18" width="12.42578125" style="18" customWidth="1"/>
    <col min="19" max="19" width="8.140625" style="18" customWidth="1"/>
    <col min="20" max="20" width="7.28515625" customWidth="1"/>
    <col min="21" max="21" width="6" customWidth="1"/>
  </cols>
  <sheetData>
    <row r="1" spans="1:35" ht="16.5" customHeight="1" x14ac:dyDescent="0.2">
      <c r="A1" s="668"/>
      <c r="B1" s="669"/>
      <c r="C1" s="669"/>
      <c r="D1" s="669"/>
      <c r="E1" s="669"/>
      <c r="F1" s="669"/>
      <c r="G1" s="669"/>
      <c r="H1" s="669"/>
      <c r="I1" s="669"/>
      <c r="J1" s="669"/>
      <c r="K1" s="669"/>
      <c r="L1" s="669"/>
      <c r="M1" s="669"/>
      <c r="N1" s="669"/>
      <c r="O1" s="669"/>
      <c r="P1" s="669"/>
      <c r="Q1" s="669"/>
      <c r="R1" s="669"/>
      <c r="S1" s="669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</row>
    <row r="2" spans="1:35" ht="18" customHeight="1" x14ac:dyDescent="0.2">
      <c r="A2" s="669"/>
      <c r="B2" s="669"/>
      <c r="C2" s="669"/>
      <c r="D2" s="670"/>
      <c r="E2" s="671"/>
      <c r="F2" s="670"/>
      <c r="G2" s="670"/>
      <c r="H2" s="670"/>
      <c r="I2" s="670"/>
      <c r="J2" s="670"/>
      <c r="K2" s="670"/>
      <c r="L2" s="670"/>
      <c r="M2" s="670"/>
      <c r="N2" s="670"/>
      <c r="O2" s="669"/>
      <c r="P2" s="669"/>
      <c r="Q2" s="669"/>
      <c r="R2" s="669"/>
      <c r="S2" s="669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</row>
    <row r="3" spans="1:35" ht="18" customHeight="1" x14ac:dyDescent="0.2">
      <c r="A3" s="672"/>
      <c r="B3" s="672"/>
      <c r="C3" s="672"/>
      <c r="D3" s="672"/>
      <c r="E3" s="673"/>
      <c r="F3" s="670"/>
      <c r="G3" s="670"/>
      <c r="H3" s="670"/>
      <c r="I3" s="670"/>
      <c r="J3" s="670"/>
      <c r="K3" s="670"/>
      <c r="L3" s="670"/>
      <c r="M3" s="670"/>
      <c r="N3" s="670"/>
      <c r="O3" s="669"/>
      <c r="P3" s="669"/>
      <c r="Q3" s="669"/>
      <c r="R3" s="669"/>
      <c r="S3" s="669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</row>
    <row r="4" spans="1:35" ht="15.75" customHeight="1" x14ac:dyDescent="0.2">
      <c r="A4" s="674" t="s">
        <v>374</v>
      </c>
      <c r="B4" s="674"/>
      <c r="C4" s="674"/>
      <c r="D4" s="674"/>
      <c r="E4" s="675"/>
      <c r="F4" s="670"/>
      <c r="G4" s="670"/>
      <c r="H4" s="670"/>
      <c r="I4" s="670"/>
      <c r="J4" s="670"/>
      <c r="K4" s="670"/>
      <c r="L4" s="670"/>
      <c r="M4" s="670"/>
      <c r="N4" s="670"/>
      <c r="O4" s="669"/>
      <c r="P4" s="669"/>
      <c r="Q4" s="669"/>
      <c r="R4" s="669"/>
      <c r="S4" s="669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</row>
    <row r="5" spans="1:35" ht="16.5" customHeight="1" x14ac:dyDescent="0.2">
      <c r="A5" s="674" t="s">
        <v>375</v>
      </c>
      <c r="B5" s="674"/>
      <c r="C5" s="674"/>
      <c r="D5" s="674"/>
      <c r="E5" s="675"/>
      <c r="F5" s="670"/>
      <c r="G5" s="670"/>
      <c r="H5" s="670"/>
      <c r="I5" s="670"/>
      <c r="J5" s="670"/>
      <c r="K5" s="670"/>
      <c r="L5" s="670"/>
      <c r="M5" s="670"/>
      <c r="N5" s="670"/>
      <c r="O5" s="669"/>
      <c r="P5" s="669"/>
      <c r="Q5" s="669"/>
      <c r="R5" s="669"/>
      <c r="S5" s="669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</row>
    <row r="6" spans="1:35" ht="16.5" customHeight="1" x14ac:dyDescent="0.2">
      <c r="A6" s="674" t="s">
        <v>379</v>
      </c>
      <c r="B6" s="674"/>
      <c r="C6" s="674"/>
      <c r="D6" s="674"/>
      <c r="E6" s="675"/>
      <c r="F6" s="670"/>
      <c r="G6" s="670"/>
      <c r="H6" s="670"/>
      <c r="I6" s="670"/>
      <c r="J6" s="670"/>
      <c r="K6" s="670"/>
      <c r="L6" s="670"/>
      <c r="M6" s="670"/>
      <c r="N6" s="670"/>
      <c r="O6" s="669"/>
      <c r="P6" s="669"/>
      <c r="Q6" s="669"/>
      <c r="R6" s="669"/>
      <c r="S6" s="669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</row>
    <row r="7" spans="1:35" ht="16.5" customHeight="1" x14ac:dyDescent="0.2">
      <c r="A7" s="674" t="s">
        <v>376</v>
      </c>
      <c r="B7" s="674"/>
      <c r="C7" s="674"/>
      <c r="D7" s="674"/>
      <c r="E7" s="675"/>
      <c r="F7" s="669"/>
      <c r="G7" s="669"/>
      <c r="H7" s="669"/>
      <c r="I7" s="669"/>
      <c r="J7" s="669"/>
      <c r="K7" s="669"/>
      <c r="L7" s="669"/>
      <c r="M7" s="669"/>
      <c r="N7" s="669"/>
      <c r="O7" s="669"/>
      <c r="P7" s="669"/>
      <c r="Q7" s="669"/>
      <c r="R7" s="669"/>
      <c r="S7" s="669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</row>
    <row r="8" spans="1:35" ht="16.5" customHeight="1" x14ac:dyDescent="0.2">
      <c r="A8" s="674" t="s">
        <v>377</v>
      </c>
      <c r="B8" s="674"/>
      <c r="C8" s="674"/>
      <c r="D8" s="674"/>
      <c r="E8" s="675"/>
      <c r="F8" s="669"/>
      <c r="G8" s="669"/>
      <c r="H8" s="669"/>
      <c r="I8" s="669"/>
      <c r="J8" s="669"/>
      <c r="K8" s="669"/>
      <c r="L8" s="669"/>
      <c r="M8" s="669"/>
      <c r="N8" s="669"/>
      <c r="O8" s="669"/>
      <c r="P8" s="669"/>
      <c r="Q8" s="669"/>
      <c r="R8" s="669"/>
      <c r="S8" s="669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</row>
    <row r="9" spans="1:35" ht="18" customHeight="1" x14ac:dyDescent="0.5">
      <c r="A9" s="674" t="s">
        <v>388</v>
      </c>
      <c r="B9" s="674"/>
      <c r="C9" s="674"/>
      <c r="D9" s="674"/>
      <c r="E9" s="675"/>
      <c r="F9" s="669"/>
      <c r="G9" s="676"/>
      <c r="H9" s="676"/>
      <c r="I9" s="676"/>
      <c r="J9" s="669"/>
      <c r="K9" s="677"/>
      <c r="L9" s="669"/>
      <c r="M9" s="669"/>
      <c r="N9" s="669"/>
      <c r="O9" s="669"/>
      <c r="P9" s="669"/>
      <c r="Q9" s="669"/>
      <c r="R9" s="669"/>
      <c r="S9" s="669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</row>
    <row r="10" spans="1:35" ht="13.5" customHeight="1" x14ac:dyDescent="0.2">
      <c r="A10" s="674" t="s">
        <v>380</v>
      </c>
      <c r="B10" s="674"/>
      <c r="C10" s="674"/>
      <c r="D10" s="674"/>
      <c r="E10" s="675"/>
      <c r="F10" s="669"/>
      <c r="G10" s="676"/>
      <c r="H10" s="676"/>
      <c r="I10" s="676"/>
      <c r="J10" s="669"/>
      <c r="K10" s="669"/>
      <c r="L10" s="669"/>
      <c r="M10" s="669"/>
      <c r="N10" s="669"/>
      <c r="O10" s="669"/>
      <c r="P10" s="669"/>
      <c r="Q10" s="669"/>
      <c r="R10" s="669"/>
      <c r="S10" s="669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</row>
    <row r="11" spans="1:35" ht="16.5" customHeight="1" x14ac:dyDescent="0.2">
      <c r="A11" s="674" t="s">
        <v>493</v>
      </c>
      <c r="B11" s="674"/>
      <c r="C11" s="674"/>
      <c r="D11" s="674"/>
      <c r="E11" s="675"/>
      <c r="F11" s="669"/>
      <c r="G11" s="676"/>
      <c r="H11" s="676"/>
      <c r="I11" s="676"/>
      <c r="J11" s="669"/>
      <c r="K11" s="669"/>
      <c r="L11" s="669"/>
      <c r="M11" s="669"/>
      <c r="N11" s="669"/>
      <c r="O11" s="669"/>
      <c r="P11" s="669"/>
      <c r="Q11" s="669"/>
      <c r="R11" s="669"/>
      <c r="S11" s="669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</row>
    <row r="12" spans="1:35" ht="16.5" customHeight="1" x14ac:dyDescent="0.2">
      <c r="A12" s="674" t="s">
        <v>381</v>
      </c>
      <c r="B12" s="674"/>
      <c r="C12" s="674"/>
      <c r="D12" s="674"/>
      <c r="E12" s="675"/>
      <c r="F12" s="669"/>
      <c r="G12" s="775" t="s">
        <v>384</v>
      </c>
      <c r="H12" s="775"/>
      <c r="I12" s="676"/>
      <c r="J12" s="669"/>
      <c r="K12" s="669"/>
      <c r="L12" s="669"/>
      <c r="M12" s="669"/>
      <c r="N12" s="669"/>
      <c r="O12" s="669"/>
      <c r="P12" s="669"/>
      <c r="Q12" s="669"/>
      <c r="R12" s="669"/>
      <c r="S12" s="669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</row>
    <row r="13" spans="1:35" ht="16.5" customHeight="1" x14ac:dyDescent="0.2">
      <c r="A13" s="674" t="s">
        <v>382</v>
      </c>
      <c r="B13" s="674"/>
      <c r="C13" s="674"/>
      <c r="D13" s="674"/>
      <c r="E13" s="675"/>
      <c r="F13" s="669"/>
      <c r="G13" s="775" t="s">
        <v>385</v>
      </c>
      <c r="H13" s="775"/>
      <c r="I13" s="676"/>
      <c r="J13" s="669"/>
      <c r="K13" s="669"/>
      <c r="L13" s="669"/>
      <c r="M13" s="669"/>
      <c r="N13" s="669"/>
      <c r="O13" s="669"/>
      <c r="P13" s="669"/>
      <c r="Q13" s="669"/>
      <c r="R13" s="669"/>
      <c r="S13" s="669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</row>
    <row r="14" spans="1:35" ht="16.5" customHeight="1" x14ac:dyDescent="0.2">
      <c r="A14" s="674" t="s">
        <v>383</v>
      </c>
      <c r="B14" s="674"/>
      <c r="C14" s="674"/>
      <c r="D14" s="674"/>
      <c r="E14" s="675"/>
      <c r="F14" s="669"/>
      <c r="G14" s="775" t="s">
        <v>386</v>
      </c>
      <c r="H14" s="775"/>
      <c r="I14" s="676"/>
      <c r="J14" s="669"/>
      <c r="K14" s="669"/>
      <c r="L14" s="669"/>
      <c r="M14" s="669"/>
      <c r="N14" s="669"/>
      <c r="O14" s="669"/>
      <c r="P14" s="669"/>
      <c r="Q14" s="669"/>
      <c r="R14" s="669"/>
      <c r="S14" s="669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</row>
    <row r="15" spans="1:35" ht="16.5" customHeight="1" x14ac:dyDescent="0.2">
      <c r="A15" s="674" t="s">
        <v>331</v>
      </c>
      <c r="B15" s="674"/>
      <c r="C15" s="674"/>
      <c r="D15" s="674"/>
      <c r="E15" s="675"/>
      <c r="F15" s="669"/>
      <c r="G15" s="775" t="s">
        <v>389</v>
      </c>
      <c r="H15" s="775"/>
      <c r="I15" s="676"/>
      <c r="J15" s="669"/>
      <c r="K15" s="669"/>
      <c r="L15" s="669"/>
      <c r="M15" s="669"/>
      <c r="N15" s="669"/>
      <c r="O15" s="669"/>
      <c r="P15" s="669"/>
      <c r="Q15" s="669"/>
      <c r="R15" s="669"/>
      <c r="S15" s="669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</row>
    <row r="16" spans="1:35" ht="17.25" customHeight="1" x14ac:dyDescent="0.2">
      <c r="A16" s="674" t="s">
        <v>226</v>
      </c>
      <c r="B16" s="674"/>
      <c r="C16" s="674"/>
      <c r="D16" s="674"/>
      <c r="E16" s="675"/>
      <c r="F16" s="669"/>
      <c r="G16" s="775" t="s">
        <v>387</v>
      </c>
      <c r="H16" s="775"/>
      <c r="I16" s="775"/>
      <c r="J16" s="775"/>
      <c r="K16" s="669"/>
      <c r="L16" s="669"/>
      <c r="M16" s="669"/>
      <c r="N16" s="669"/>
      <c r="O16" s="669"/>
      <c r="P16" s="669"/>
      <c r="Q16" s="669"/>
      <c r="R16" s="669"/>
      <c r="S16" s="669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</row>
    <row r="17" spans="1:52" ht="20.100000000000001" customHeight="1" x14ac:dyDescent="0.2">
      <c r="A17" s="672"/>
      <c r="B17" s="672"/>
      <c r="C17" s="672"/>
      <c r="D17" s="672"/>
      <c r="E17" s="673"/>
      <c r="F17" s="669"/>
      <c r="G17" s="676"/>
      <c r="H17" s="676"/>
      <c r="I17" s="676"/>
      <c r="J17" s="669"/>
      <c r="K17" s="669"/>
      <c r="L17" s="669"/>
      <c r="M17" s="669"/>
      <c r="N17" s="669"/>
      <c r="O17" s="669"/>
      <c r="P17" s="669"/>
      <c r="Q17" s="669"/>
      <c r="R17" s="669"/>
      <c r="S17" s="669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</row>
    <row r="18" spans="1:52" ht="20.100000000000001" customHeight="1" x14ac:dyDescent="0.2">
      <c r="A18" s="669"/>
      <c r="B18" s="669"/>
      <c r="C18" s="669"/>
      <c r="D18" s="669"/>
      <c r="E18" s="678"/>
      <c r="F18" s="669"/>
      <c r="G18" s="669"/>
      <c r="H18" s="669"/>
      <c r="I18" s="669"/>
      <c r="J18" s="669"/>
      <c r="K18" s="669"/>
      <c r="L18" s="669"/>
      <c r="M18" s="669"/>
      <c r="N18" s="669"/>
      <c r="O18" s="669"/>
      <c r="P18" s="669"/>
      <c r="Q18" s="669"/>
      <c r="R18" s="669"/>
      <c r="S18" s="669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</row>
    <row r="19" spans="1:52" ht="20.100000000000001" customHeight="1" x14ac:dyDescent="0.2">
      <c r="A19" s="669"/>
      <c r="B19" s="669"/>
      <c r="C19" s="669"/>
      <c r="D19" s="669"/>
      <c r="E19" s="678"/>
      <c r="F19" s="669"/>
      <c r="G19" s="669"/>
      <c r="H19" s="669"/>
      <c r="I19" s="669"/>
      <c r="J19" s="669"/>
      <c r="K19" s="669"/>
      <c r="L19" s="669"/>
      <c r="M19" s="669"/>
      <c r="N19" s="669"/>
      <c r="O19" s="669"/>
      <c r="P19" s="669"/>
      <c r="Q19" s="669"/>
      <c r="R19" s="669"/>
      <c r="S19" s="669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</row>
    <row r="20" spans="1:52" ht="20.100000000000001" customHeight="1" x14ac:dyDescent="0.2">
      <c r="A20" s="669"/>
      <c r="B20" s="669"/>
      <c r="C20" s="669"/>
      <c r="D20" s="669"/>
      <c r="E20" s="678"/>
      <c r="F20" s="669"/>
      <c r="G20" s="669"/>
      <c r="H20" s="669"/>
      <c r="I20" s="669"/>
      <c r="J20" s="669"/>
      <c r="K20" s="669"/>
      <c r="L20" s="669"/>
      <c r="M20" s="669"/>
      <c r="N20" s="669"/>
      <c r="O20" s="669"/>
      <c r="P20" s="669"/>
      <c r="Q20" s="669"/>
      <c r="R20" s="669"/>
      <c r="S20" s="669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</row>
    <row r="21" spans="1:52" ht="20.100000000000001" customHeight="1" x14ac:dyDescent="0.2">
      <c r="A21" s="679"/>
      <c r="B21" s="679"/>
      <c r="C21" s="679"/>
      <c r="D21" s="679"/>
      <c r="E21" s="680"/>
      <c r="F21" s="669"/>
      <c r="G21" s="669"/>
      <c r="H21" s="669"/>
      <c r="I21" s="669"/>
      <c r="J21" s="669"/>
      <c r="K21" s="669"/>
      <c r="L21" s="669"/>
      <c r="M21" s="669"/>
      <c r="N21" s="669"/>
      <c r="O21" s="669"/>
      <c r="P21" s="669"/>
      <c r="Q21" s="669"/>
      <c r="R21" s="669"/>
      <c r="S21" s="669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</row>
    <row r="22" spans="1:52" ht="20.100000000000001" customHeight="1" x14ac:dyDescent="0.2">
      <c r="A22" s="681" t="s">
        <v>439</v>
      </c>
      <c r="B22" s="682"/>
      <c r="C22" s="682"/>
      <c r="D22" s="682"/>
      <c r="E22" s="683"/>
      <c r="F22" s="669"/>
      <c r="G22" s="669"/>
      <c r="H22" s="669"/>
      <c r="I22" s="669"/>
      <c r="J22" s="669"/>
      <c r="K22" s="669"/>
      <c r="L22" s="669"/>
      <c r="M22" s="669"/>
      <c r="N22" s="669"/>
      <c r="O22" s="669"/>
      <c r="P22" s="669"/>
      <c r="Q22" s="669"/>
      <c r="R22" s="669"/>
      <c r="S22" s="669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</row>
    <row r="23" spans="1:52" ht="20.100000000000001" customHeight="1" x14ac:dyDescent="0.2">
      <c r="A23" s="684" t="s">
        <v>438</v>
      </c>
      <c r="B23" s="676"/>
      <c r="C23" s="676"/>
      <c r="D23" s="676"/>
      <c r="E23" s="685"/>
      <c r="F23" s="669"/>
      <c r="G23" s="669"/>
      <c r="H23" s="669"/>
      <c r="I23" s="669"/>
      <c r="J23" s="669"/>
      <c r="K23" s="669"/>
      <c r="L23" s="669"/>
      <c r="M23" s="669"/>
      <c r="N23" s="669"/>
      <c r="O23" s="669"/>
      <c r="P23" s="669"/>
      <c r="Q23" s="669"/>
      <c r="R23" s="669"/>
      <c r="S23" s="669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</row>
    <row r="24" spans="1:52" ht="20.100000000000001" customHeight="1" x14ac:dyDescent="0.2">
      <c r="A24" s="686" t="s">
        <v>440</v>
      </c>
      <c r="B24" s="687"/>
      <c r="C24" s="687"/>
      <c r="D24" s="687"/>
      <c r="E24" s="688"/>
      <c r="F24" s="669"/>
      <c r="G24" s="669"/>
      <c r="H24" s="669"/>
      <c r="I24" s="669"/>
      <c r="J24" s="669"/>
      <c r="K24" s="669"/>
      <c r="L24" s="669"/>
      <c r="M24" s="669"/>
      <c r="N24" s="669"/>
      <c r="O24" s="669"/>
      <c r="P24" s="669"/>
      <c r="Q24" s="669"/>
      <c r="R24" s="669"/>
      <c r="S24" s="669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</row>
    <row r="25" spans="1:52" ht="20.25" customHeight="1" x14ac:dyDescent="0.2">
      <c r="A25" s="689" t="s">
        <v>419</v>
      </c>
      <c r="B25" s="690"/>
      <c r="C25" s="690"/>
      <c r="D25" s="690"/>
      <c r="E25" s="691"/>
      <c r="F25" s="669"/>
      <c r="G25" s="669"/>
      <c r="H25" s="669"/>
      <c r="I25" s="669"/>
      <c r="J25" s="669"/>
      <c r="K25" s="669"/>
      <c r="L25" s="669"/>
      <c r="M25" s="669"/>
      <c r="N25" s="669"/>
      <c r="O25" s="669"/>
      <c r="P25" s="669"/>
      <c r="Q25" s="669"/>
      <c r="R25" s="669"/>
      <c r="S25" s="669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</row>
    <row r="26" spans="1:52" ht="21.75" customHeight="1" x14ac:dyDescent="0.2">
      <c r="A26" s="692" t="s">
        <v>525</v>
      </c>
      <c r="B26" s="693"/>
      <c r="C26" s="693"/>
      <c r="D26" s="693"/>
      <c r="E26" s="694"/>
      <c r="F26" s="669"/>
      <c r="G26" s="669"/>
      <c r="H26" s="669"/>
      <c r="I26" s="669"/>
      <c r="J26" s="669"/>
      <c r="K26" s="669"/>
      <c r="L26" s="669"/>
      <c r="M26" s="669"/>
      <c r="N26" s="669"/>
      <c r="O26" s="669"/>
      <c r="P26" s="669"/>
      <c r="Q26" s="669"/>
      <c r="R26" s="669"/>
      <c r="S26" s="669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</row>
    <row r="27" spans="1:52" ht="17.25" customHeight="1" x14ac:dyDescent="0.2">
      <c r="A27" s="695" t="s">
        <v>420</v>
      </c>
      <c r="B27" s="696"/>
      <c r="C27" s="696"/>
      <c r="D27" s="696"/>
      <c r="E27" s="697"/>
      <c r="F27" s="698"/>
      <c r="G27" s="669"/>
      <c r="H27" s="669"/>
      <c r="I27" s="669"/>
      <c r="J27" s="669"/>
      <c r="K27" s="669"/>
      <c r="L27" s="669"/>
      <c r="M27" s="669"/>
      <c r="N27" s="669"/>
      <c r="O27" s="669"/>
      <c r="P27" s="669"/>
      <c r="Q27" s="669"/>
      <c r="R27" s="669"/>
      <c r="S27" s="669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</row>
    <row r="28" spans="1:52" ht="51.6" customHeight="1" x14ac:dyDescent="0.45">
      <c r="A28" s="698"/>
      <c r="B28" s="699"/>
      <c r="C28" s="699"/>
      <c r="D28" s="699"/>
      <c r="E28" s="700"/>
      <c r="F28" s="701"/>
      <c r="G28" s="702"/>
      <c r="H28" s="669"/>
      <c r="I28" s="669"/>
      <c r="J28" s="669"/>
      <c r="K28" s="669"/>
      <c r="L28" s="669"/>
      <c r="M28" s="669"/>
      <c r="N28" s="669"/>
      <c r="O28" s="669"/>
      <c r="P28" s="669"/>
      <c r="Q28" s="669"/>
      <c r="R28" s="669"/>
      <c r="S28" s="669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52" ht="3" hidden="1" customHeight="1" x14ac:dyDescent="0.45">
      <c r="A29" s="333"/>
      <c r="B29" s="334"/>
      <c r="C29" s="334"/>
      <c r="D29" s="334"/>
      <c r="E29" s="335"/>
      <c r="F29" s="335"/>
      <c r="G29" s="336"/>
      <c r="H29" s="333"/>
      <c r="I29" s="333"/>
      <c r="J29" s="333"/>
      <c r="K29" s="333"/>
      <c r="L29" s="333"/>
      <c r="M29" s="333"/>
      <c r="N29" s="333"/>
      <c r="O29" s="333"/>
      <c r="P29" s="333"/>
      <c r="Q29" s="333"/>
      <c r="R29" s="333"/>
      <c r="S29" s="333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52" s="148" customFormat="1" ht="2.25" customHeight="1" x14ac:dyDescent="0.45">
      <c r="B30" s="240"/>
      <c r="C30" s="240"/>
      <c r="D30" s="240"/>
      <c r="E30" s="271"/>
      <c r="F30" s="271"/>
      <c r="G30" s="342"/>
    </row>
    <row r="31" spans="1:52" ht="15" hidden="1" customHeight="1" x14ac:dyDescent="0.45">
      <c r="A31" s="33"/>
      <c r="B31" s="34"/>
      <c r="C31" s="34"/>
      <c r="D31" s="34"/>
      <c r="E31" s="35"/>
      <c r="F31" s="35"/>
      <c r="G31" s="8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7"/>
      <c r="T31" s="152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52" ht="12" customHeight="1" x14ac:dyDescent="0.45">
      <c r="A32" s="38"/>
      <c r="B32" s="17"/>
      <c r="C32" s="17"/>
      <c r="D32" s="17"/>
      <c r="E32" s="25"/>
      <c r="F32" s="25"/>
      <c r="G32" s="8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39"/>
      <c r="T32" s="152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ht="16.899999999999999" customHeight="1" x14ac:dyDescent="0.45">
      <c r="A33" s="45"/>
      <c r="B33" s="17"/>
      <c r="C33" s="17"/>
      <c r="D33" s="17"/>
      <c r="E33" s="25"/>
      <c r="F33" s="25"/>
      <c r="G33" s="87"/>
      <c r="H33" s="7"/>
      <c r="I33" s="7"/>
      <c r="J33" s="7"/>
      <c r="K33" s="7"/>
      <c r="L33" s="7"/>
      <c r="M33" s="7"/>
      <c r="N33" s="7"/>
      <c r="O33" s="7"/>
      <c r="P33" s="7"/>
      <c r="Q33" s="7"/>
      <c r="R33" s="471" t="s">
        <v>532</v>
      </c>
      <c r="S33" s="7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ht="18" customHeight="1" x14ac:dyDescent="0.45">
      <c r="A34" s="7"/>
      <c r="B34" s="17"/>
      <c r="C34" s="17"/>
      <c r="D34" s="17"/>
      <c r="E34" s="25"/>
      <c r="F34" s="25"/>
      <c r="G34" s="87"/>
      <c r="H34" s="7"/>
      <c r="I34" s="7"/>
      <c r="J34" s="366" t="s">
        <v>234</v>
      </c>
      <c r="K34" s="7"/>
      <c r="L34" s="7"/>
      <c r="M34" s="7"/>
      <c r="N34" s="7"/>
      <c r="O34" s="7"/>
      <c r="P34" s="7"/>
      <c r="Q34" s="7"/>
      <c r="R34" s="7"/>
      <c r="S34" s="7"/>
      <c r="T34" s="148"/>
      <c r="U34" s="146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ht="15" customHeight="1" x14ac:dyDescent="0.45">
      <c r="A35" s="7"/>
      <c r="B35" s="17"/>
      <c r="C35" s="17"/>
      <c r="D35" s="17"/>
      <c r="E35" s="25"/>
      <c r="F35" s="25"/>
      <c r="G35" s="8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148"/>
      <c r="U35" s="120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ht="15" customHeight="1" x14ac:dyDescent="0.45">
      <c r="A36" s="7"/>
      <c r="B36" s="17"/>
      <c r="C36" s="17"/>
      <c r="D36" s="17"/>
      <c r="E36" s="25"/>
      <c r="F36" s="25"/>
      <c r="G36" s="8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148"/>
      <c r="U36" s="146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ht="15" customHeight="1" x14ac:dyDescent="0.45">
      <c r="A37" s="7"/>
      <c r="B37" s="17"/>
      <c r="C37" s="17"/>
      <c r="D37" s="17"/>
      <c r="E37" s="25"/>
      <c r="F37" s="25"/>
      <c r="G37" s="8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148"/>
      <c r="U37" s="146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ht="15" customHeight="1" x14ac:dyDescent="0.45">
      <c r="A38" s="7"/>
      <c r="B38" s="17"/>
      <c r="C38" s="17"/>
      <c r="D38" s="17"/>
      <c r="E38" s="25"/>
      <c r="F38" s="25"/>
      <c r="G38" s="8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148"/>
      <c r="U38" s="146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ht="15" customHeight="1" x14ac:dyDescent="0.45">
      <c r="A39" s="7"/>
      <c r="B39" s="17"/>
      <c r="C39" s="17"/>
      <c r="D39" s="17"/>
      <c r="E39" s="25"/>
      <c r="F39" s="25"/>
      <c r="G39" s="8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148"/>
      <c r="U39" s="146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ht="15" customHeight="1" x14ac:dyDescent="0.45">
      <c r="A40" s="7"/>
      <c r="B40" s="17"/>
      <c r="C40" s="17"/>
      <c r="D40" s="17"/>
      <c r="E40" s="25"/>
      <c r="F40" s="25"/>
      <c r="G40" s="8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148"/>
      <c r="U40" s="146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ht="15" customHeight="1" x14ac:dyDescent="0.45">
      <c r="A41" s="7"/>
      <c r="B41" s="17"/>
      <c r="C41" s="17"/>
      <c r="D41" s="17"/>
      <c r="E41" s="25"/>
      <c r="F41" s="25"/>
      <c r="G41" s="8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148"/>
      <c r="U41" s="146"/>
      <c r="V41" s="152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ht="15" customHeight="1" x14ac:dyDescent="0.45">
      <c r="A42" s="7"/>
      <c r="B42" s="17"/>
      <c r="C42" s="17"/>
      <c r="D42" s="17"/>
      <c r="E42" s="25"/>
      <c r="F42" s="25"/>
      <c r="G42" s="8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148"/>
      <c r="U42" s="146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ht="17.25" customHeight="1" x14ac:dyDescent="0.45">
      <c r="A43" s="7"/>
      <c r="B43" s="17"/>
      <c r="C43" s="17"/>
      <c r="D43" s="17"/>
      <c r="E43" s="25"/>
      <c r="F43" s="25"/>
      <c r="G43" s="87"/>
      <c r="H43" s="7"/>
      <c r="I43" s="7"/>
      <c r="J43" s="7"/>
      <c r="K43" s="7"/>
      <c r="L43" s="7"/>
      <c r="M43" s="7"/>
      <c r="N43" s="135" t="s">
        <v>274</v>
      </c>
      <c r="O43" s="7"/>
      <c r="P43" s="7"/>
      <c r="Q43" s="803"/>
      <c r="R43" s="803"/>
      <c r="S43" s="7"/>
      <c r="T43" s="148"/>
      <c r="U43" s="146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ht="9" customHeight="1" x14ac:dyDescent="0.45">
      <c r="A44" s="7"/>
      <c r="B44" s="17"/>
      <c r="C44" s="17"/>
      <c r="D44" s="17"/>
      <c r="E44" s="25"/>
      <c r="F44" s="25"/>
      <c r="G44" s="8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148"/>
      <c r="U44" s="146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ht="15" customHeight="1" x14ac:dyDescent="0.45">
      <c r="A45" s="7"/>
      <c r="B45" s="17"/>
      <c r="C45" s="17"/>
      <c r="D45" s="17"/>
      <c r="E45" s="25"/>
      <c r="F45" s="25"/>
      <c r="G45" s="87"/>
      <c r="H45" s="7"/>
      <c r="I45" s="7"/>
      <c r="J45" s="7"/>
      <c r="K45" s="7"/>
      <c r="L45" s="7"/>
      <c r="M45" s="7"/>
      <c r="N45" s="135"/>
      <c r="O45" s="7"/>
      <c r="P45" s="7"/>
      <c r="Q45" s="7"/>
      <c r="R45" s="7"/>
      <c r="S45" s="7"/>
      <c r="T45" s="148"/>
      <c r="U45" s="146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ht="17.25" customHeight="1" x14ac:dyDescent="0.2">
      <c r="A46" s="135" t="s">
        <v>153</v>
      </c>
      <c r="B46" s="134"/>
      <c r="C46" s="134"/>
      <c r="D46" s="780"/>
      <c r="E46" s="781"/>
      <c r="F46" s="781"/>
      <c r="G46" s="781"/>
      <c r="H46" s="781"/>
      <c r="I46" s="135"/>
      <c r="J46" s="135"/>
      <c r="K46" s="135"/>
      <c r="L46" s="135"/>
      <c r="M46" s="135"/>
      <c r="N46" s="135" t="s">
        <v>154</v>
      </c>
      <c r="O46" s="135"/>
      <c r="P46" s="180"/>
      <c r="Q46" s="780"/>
      <c r="R46" s="781"/>
      <c r="S46" s="135"/>
      <c r="T46" s="148"/>
      <c r="U46" s="146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ht="21" customHeight="1" x14ac:dyDescent="0.2">
      <c r="A47" s="135"/>
      <c r="B47" s="134"/>
      <c r="C47" s="134"/>
      <c r="D47" s="62"/>
      <c r="E47" s="183"/>
      <c r="F47" s="183"/>
      <c r="G47" s="183"/>
      <c r="H47" s="183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236"/>
      <c r="U47" s="146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ht="15.75" customHeight="1" x14ac:dyDescent="0.2">
      <c r="A48" s="135" t="s">
        <v>155</v>
      </c>
      <c r="B48" s="134"/>
      <c r="C48" s="134"/>
      <c r="D48" s="777"/>
      <c r="E48" s="778"/>
      <c r="F48" s="778"/>
      <c r="G48" s="778"/>
      <c r="H48" s="778"/>
      <c r="I48" s="135"/>
      <c r="J48" s="135"/>
      <c r="K48" s="135"/>
      <c r="L48" s="135"/>
      <c r="M48" s="135"/>
      <c r="N48" s="135" t="s">
        <v>156</v>
      </c>
      <c r="O48" s="135"/>
      <c r="P48" s="181"/>
      <c r="Q48" s="780"/>
      <c r="R48" s="781"/>
      <c r="S48" s="135"/>
      <c r="T48" s="236"/>
      <c r="U48" s="146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ht="21" customHeight="1" x14ac:dyDescent="0.2">
      <c r="A49" s="135"/>
      <c r="B49" s="134"/>
      <c r="C49" s="134"/>
      <c r="D49" s="62"/>
      <c r="E49" s="183"/>
      <c r="F49" s="183"/>
      <c r="G49" s="183"/>
      <c r="H49" s="183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236"/>
      <c r="U49" s="146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ht="15.75" customHeight="1" x14ac:dyDescent="0.2">
      <c r="A50" s="263" t="s">
        <v>391</v>
      </c>
      <c r="B50" s="134"/>
      <c r="C50" s="134"/>
      <c r="D50" s="780"/>
      <c r="E50" s="781"/>
      <c r="F50" s="781"/>
      <c r="G50" s="781"/>
      <c r="H50" s="781"/>
      <c r="I50" s="135"/>
      <c r="J50" s="135"/>
      <c r="K50" s="135"/>
      <c r="L50" s="135"/>
      <c r="M50" s="135"/>
      <c r="N50" s="135" t="s">
        <v>157</v>
      </c>
      <c r="O50" s="135"/>
      <c r="P50" s="135"/>
      <c r="Q50" s="781"/>
      <c r="R50" s="781"/>
      <c r="S50" s="135"/>
      <c r="T50" s="236"/>
      <c r="U50" s="146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ht="14.25" customHeight="1" x14ac:dyDescent="0.2">
      <c r="A51" s="135"/>
      <c r="B51" s="134"/>
      <c r="C51" s="134"/>
      <c r="D51" s="134"/>
      <c r="E51" s="136"/>
      <c r="F51" s="136"/>
      <c r="G51" s="136"/>
      <c r="H51" s="135"/>
      <c r="I51" s="135"/>
      <c r="J51" s="135"/>
      <c r="K51" s="135"/>
      <c r="L51" s="135"/>
      <c r="M51" s="135"/>
      <c r="N51" s="135"/>
      <c r="O51" s="135"/>
      <c r="P51" s="135"/>
      <c r="Q51" s="182"/>
      <c r="R51" s="182"/>
      <c r="S51" s="135"/>
      <c r="T51" s="236"/>
      <c r="U51" s="146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ht="15" customHeight="1" x14ac:dyDescent="0.2">
      <c r="A52" s="263" t="s">
        <v>391</v>
      </c>
      <c r="B52" s="134"/>
      <c r="C52" s="134"/>
      <c r="D52" s="778"/>
      <c r="E52" s="778"/>
      <c r="F52" s="778"/>
      <c r="G52" s="778"/>
      <c r="H52" s="778"/>
      <c r="I52" s="135"/>
      <c r="J52" s="135"/>
      <c r="K52" s="135"/>
      <c r="L52" s="135"/>
      <c r="M52" s="135"/>
      <c r="N52" s="135"/>
      <c r="O52" s="135"/>
      <c r="P52" s="135"/>
      <c r="Q52" s="182"/>
      <c r="R52" s="182"/>
      <c r="S52" s="135"/>
      <c r="T52" s="236"/>
      <c r="U52" s="146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ht="15.75" customHeight="1" x14ac:dyDescent="0.25">
      <c r="A53" s="135"/>
      <c r="B53" s="134"/>
      <c r="C53" s="134"/>
      <c r="D53" s="134"/>
      <c r="E53" s="136"/>
      <c r="F53" s="136"/>
      <c r="G53" s="96"/>
      <c r="H53" s="202"/>
      <c r="I53" s="135"/>
      <c r="J53" s="135"/>
      <c r="K53" s="135"/>
      <c r="L53" s="135" t="s">
        <v>219</v>
      </c>
      <c r="M53" s="135"/>
      <c r="N53" s="135"/>
      <c r="O53" s="135"/>
      <c r="P53" s="135"/>
      <c r="Q53" s="771">
        <f>SUM(R102+R136+R173+R252+R296+R340+R379)</f>
        <v>0</v>
      </c>
      <c r="R53" s="771"/>
      <c r="S53" s="135" t="s">
        <v>0</v>
      </c>
      <c r="T53" s="236"/>
      <c r="U53" s="146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ht="15" customHeight="1" x14ac:dyDescent="0.2">
      <c r="A54" s="135"/>
      <c r="B54" s="134"/>
      <c r="C54" s="134"/>
      <c r="D54" s="134"/>
      <c r="E54" s="136"/>
      <c r="F54" s="136"/>
      <c r="G54" s="96"/>
      <c r="H54" s="184"/>
      <c r="I54" s="135"/>
      <c r="J54" s="135"/>
      <c r="K54" s="135"/>
      <c r="L54" s="135"/>
      <c r="M54" s="135"/>
      <c r="N54" s="135"/>
      <c r="O54" s="135"/>
      <c r="P54" s="135"/>
      <c r="Q54" s="135"/>
      <c r="R54" s="136"/>
      <c r="S54" s="135"/>
      <c r="T54" s="236"/>
      <c r="U54" s="146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ht="15.75" customHeight="1" x14ac:dyDescent="0.25">
      <c r="A55" s="135"/>
      <c r="B55" s="134"/>
      <c r="C55" s="134"/>
      <c r="D55" s="134"/>
      <c r="E55" s="136"/>
      <c r="F55" s="136"/>
      <c r="G55" s="96"/>
      <c r="H55" s="202"/>
      <c r="I55" s="135"/>
      <c r="J55" s="135"/>
      <c r="K55" s="135"/>
      <c r="L55" s="135" t="s">
        <v>332</v>
      </c>
      <c r="M55" s="135"/>
      <c r="N55" s="135"/>
      <c r="O55" s="135"/>
      <c r="P55" s="135"/>
      <c r="Q55" s="771">
        <f>SUM(R412+R454+R499)</f>
        <v>0</v>
      </c>
      <c r="R55" s="771"/>
      <c r="S55" s="135" t="s">
        <v>0</v>
      </c>
      <c r="T55" s="236"/>
      <c r="U55" s="146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ht="14.25" customHeight="1" x14ac:dyDescent="0.2">
      <c r="A56" s="135"/>
      <c r="B56" s="134"/>
      <c r="C56" s="134"/>
      <c r="D56" s="134"/>
      <c r="E56" s="136"/>
      <c r="F56" s="136"/>
      <c r="G56" s="96"/>
      <c r="H56" s="184"/>
      <c r="I56" s="135"/>
      <c r="J56" s="135"/>
      <c r="K56" s="135"/>
      <c r="L56" s="135"/>
      <c r="M56" s="135"/>
      <c r="N56" s="135"/>
      <c r="O56" s="135"/>
      <c r="P56" s="135"/>
      <c r="Q56" s="135"/>
      <c r="R56" s="204"/>
      <c r="S56" s="135"/>
      <c r="T56" s="236"/>
      <c r="U56" s="146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ht="15" customHeight="1" x14ac:dyDescent="0.2">
      <c r="A57" s="135"/>
      <c r="B57" s="134" t="s">
        <v>227</v>
      </c>
      <c r="C57" s="134"/>
      <c r="D57" s="134"/>
      <c r="E57" s="136"/>
      <c r="F57" s="136"/>
      <c r="G57" s="96"/>
      <c r="H57" s="184"/>
      <c r="I57" s="135"/>
      <c r="J57" s="135"/>
      <c r="K57" s="135"/>
      <c r="L57" s="135"/>
      <c r="M57" s="135"/>
      <c r="N57" s="135"/>
      <c r="O57" s="135"/>
      <c r="P57" s="135"/>
      <c r="Q57" s="135"/>
      <c r="R57" s="204"/>
      <c r="S57" s="135"/>
      <c r="T57" s="236"/>
      <c r="U57" s="146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ht="15" customHeight="1" x14ac:dyDescent="0.25">
      <c r="A58" s="135"/>
      <c r="B58" s="134"/>
      <c r="C58" s="134"/>
      <c r="D58" s="180"/>
      <c r="E58" s="180"/>
      <c r="F58" s="180"/>
      <c r="G58" s="96"/>
      <c r="H58" s="202"/>
      <c r="I58" s="135"/>
      <c r="J58" s="135"/>
      <c r="K58" s="135"/>
      <c r="L58" s="135" t="s">
        <v>331</v>
      </c>
      <c r="M58" s="135"/>
      <c r="N58" s="135"/>
      <c r="O58" s="135"/>
      <c r="P58" s="135"/>
      <c r="Q58" s="771">
        <f>SUM(R540)</f>
        <v>0</v>
      </c>
      <c r="R58" s="771"/>
      <c r="S58" s="135" t="s">
        <v>0</v>
      </c>
      <c r="T58" s="236"/>
      <c r="U58" s="146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ht="15" customHeight="1" x14ac:dyDescent="0.2">
      <c r="A59" s="135"/>
      <c r="B59" s="134" t="s">
        <v>153</v>
      </c>
      <c r="C59" s="134"/>
      <c r="D59" s="359"/>
      <c r="E59" s="359"/>
      <c r="F59" s="359"/>
      <c r="G59" s="96"/>
      <c r="H59" s="184"/>
      <c r="I59" s="135"/>
      <c r="J59" s="135"/>
      <c r="K59" s="135"/>
      <c r="L59" s="135"/>
      <c r="M59" s="135"/>
      <c r="N59" s="135"/>
      <c r="O59" s="135"/>
      <c r="P59" s="135"/>
      <c r="Q59" s="135"/>
      <c r="R59" s="204"/>
      <c r="S59" s="135"/>
      <c r="T59" s="236"/>
      <c r="U59" s="146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ht="15" customHeight="1" x14ac:dyDescent="0.25">
      <c r="A60" s="135"/>
      <c r="B60" s="134"/>
      <c r="C60" s="134"/>
      <c r="D60" s="180"/>
      <c r="E60" s="180"/>
      <c r="F60" s="180"/>
      <c r="G60" s="96"/>
      <c r="H60" s="202"/>
      <c r="I60" s="135"/>
      <c r="J60" s="135"/>
      <c r="K60" s="135"/>
      <c r="L60" s="135" t="s">
        <v>226</v>
      </c>
      <c r="M60" s="135"/>
      <c r="N60" s="135"/>
      <c r="O60" s="135"/>
      <c r="P60" s="135"/>
      <c r="Q60" s="771">
        <f>SUM(R582)</f>
        <v>0</v>
      </c>
      <c r="R60" s="771"/>
      <c r="S60" s="135" t="s">
        <v>0</v>
      </c>
      <c r="T60" s="236"/>
      <c r="U60" s="146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ht="13.5" customHeight="1" x14ac:dyDescent="0.2">
      <c r="A61" s="135"/>
      <c r="B61" s="134" t="s">
        <v>228</v>
      </c>
      <c r="C61" s="134"/>
      <c r="D61" s="359"/>
      <c r="E61" s="359"/>
      <c r="F61" s="359"/>
      <c r="G61" s="96"/>
      <c r="H61" s="184"/>
      <c r="I61" s="135"/>
      <c r="J61" s="135"/>
      <c r="K61" s="135"/>
      <c r="L61" s="135"/>
      <c r="M61" s="135"/>
      <c r="N61" s="135"/>
      <c r="O61" s="135"/>
      <c r="P61" s="135"/>
      <c r="Q61" s="135"/>
      <c r="R61" s="204"/>
      <c r="S61" s="135"/>
      <c r="T61" s="236"/>
      <c r="U61" s="146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ht="15.75" customHeight="1" x14ac:dyDescent="0.2">
      <c r="A62" s="135"/>
      <c r="B62" s="134"/>
      <c r="C62" s="134"/>
      <c r="D62" s="134"/>
      <c r="E62" s="136"/>
      <c r="F62" s="136"/>
      <c r="G62" s="96"/>
      <c r="H62" s="184"/>
      <c r="I62" s="135"/>
      <c r="J62" s="135"/>
      <c r="K62" s="135"/>
      <c r="L62" s="643" t="s">
        <v>481</v>
      </c>
      <c r="O62" s="644"/>
      <c r="Q62" s="771">
        <f>SUM(Q53+Q55+Q58)*O62</f>
        <v>0</v>
      </c>
      <c r="R62" s="771"/>
      <c r="S62" s="263" t="s">
        <v>0</v>
      </c>
      <c r="T62" s="236"/>
      <c r="U62" s="146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ht="18.75" customHeight="1" x14ac:dyDescent="0.25">
      <c r="A63" s="135"/>
      <c r="B63" s="134"/>
      <c r="C63" s="134"/>
      <c r="D63" s="134"/>
      <c r="E63" s="136"/>
      <c r="F63" s="136"/>
      <c r="G63" s="96"/>
      <c r="H63" s="202"/>
      <c r="I63" s="366"/>
      <c r="J63" s="135"/>
      <c r="K63" s="135"/>
      <c r="L63" s="135" t="s">
        <v>221</v>
      </c>
      <c r="M63" s="135"/>
      <c r="N63" s="135"/>
      <c r="O63" s="135"/>
      <c r="P63" s="135"/>
      <c r="Q63" s="772">
        <f>SUM(Q53+Q55+Q58+Q60+Q62)</f>
        <v>0</v>
      </c>
      <c r="R63" s="772"/>
      <c r="S63" s="135" t="s">
        <v>0</v>
      </c>
      <c r="T63" s="236"/>
      <c r="U63" s="146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ht="18.75" customHeight="1" x14ac:dyDescent="0.25">
      <c r="A64" s="441"/>
      <c r="B64" s="134"/>
      <c r="C64" s="134"/>
      <c r="D64" s="134"/>
      <c r="E64" s="136"/>
      <c r="F64" s="136"/>
      <c r="G64" s="136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202"/>
      <c r="S64" s="135"/>
      <c r="T64" s="236"/>
      <c r="U64" s="146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ht="18" customHeight="1" x14ac:dyDescent="0.2">
      <c r="A65" s="135"/>
      <c r="B65" s="134"/>
      <c r="C65" s="134"/>
      <c r="D65" s="134"/>
      <c r="E65" s="136"/>
      <c r="F65" s="136"/>
      <c r="G65" s="136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236"/>
      <c r="U65" s="146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ht="17.25" customHeight="1" x14ac:dyDescent="0.2">
      <c r="A66" s="135"/>
      <c r="B66" s="134"/>
      <c r="C66" s="134"/>
      <c r="D66" s="134"/>
      <c r="E66" s="136"/>
      <c r="F66" s="136"/>
      <c r="G66" s="136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236"/>
      <c r="U66" s="146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ht="17.25" customHeight="1" x14ac:dyDescent="0.2">
      <c r="A67" s="135"/>
      <c r="B67" s="134"/>
      <c r="C67" s="134"/>
      <c r="D67" s="134"/>
      <c r="E67" s="136"/>
      <c r="F67" s="136"/>
      <c r="G67" s="136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236"/>
      <c r="U67" s="146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ht="0.75" customHeight="1" x14ac:dyDescent="0.45">
      <c r="A68" s="7"/>
      <c r="B68" s="17"/>
      <c r="C68" s="17"/>
      <c r="D68" s="17"/>
      <c r="E68" s="25"/>
      <c r="F68" s="25"/>
      <c r="G68" s="8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236"/>
      <c r="U68" s="146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ht="20.25" customHeight="1" x14ac:dyDescent="0.45">
      <c r="A69" s="44" t="s">
        <v>240</v>
      </c>
      <c r="B69" s="45"/>
      <c r="C69" s="44" t="s">
        <v>524</v>
      </c>
      <c r="D69" s="45"/>
      <c r="E69" s="5"/>
      <c r="F69" s="5"/>
      <c r="G69" s="89"/>
      <c r="H69" s="6"/>
      <c r="I69" s="6"/>
      <c r="J69" s="370" t="s">
        <v>234</v>
      </c>
      <c r="K69" s="7"/>
      <c r="L69" s="7"/>
      <c r="M69" s="7"/>
      <c r="N69" s="4"/>
      <c r="O69" s="7"/>
      <c r="P69" s="4"/>
      <c r="Q69" s="45"/>
      <c r="R69" s="158"/>
      <c r="S69" s="4"/>
      <c r="T69" s="236"/>
      <c r="U69" s="146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ht="18.75" customHeight="1" x14ac:dyDescent="0.45">
      <c r="A70" s="4"/>
      <c r="B70" s="4"/>
      <c r="C70" s="4"/>
      <c r="D70" s="4"/>
      <c r="E70" s="5"/>
      <c r="F70" s="5"/>
      <c r="G70" s="89"/>
      <c r="H70" s="6"/>
      <c r="I70" s="6"/>
      <c r="J70" s="6"/>
      <c r="K70" s="4"/>
      <c r="L70" s="4"/>
      <c r="M70" s="4"/>
      <c r="N70" s="4"/>
      <c r="O70" s="4"/>
      <c r="P70" s="4"/>
      <c r="Q70" s="4"/>
      <c r="R70" s="4"/>
      <c r="S70" s="4"/>
      <c r="T70" s="152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ht="15" hidden="1" customHeight="1" x14ac:dyDescent="0.45">
      <c r="A71" s="4"/>
      <c r="B71" s="7"/>
      <c r="C71" s="7"/>
      <c r="D71" s="7"/>
      <c r="E71" s="5"/>
      <c r="F71" s="5"/>
      <c r="G71" s="89"/>
      <c r="H71" s="6"/>
      <c r="I71" s="6"/>
      <c r="J71" s="6"/>
      <c r="K71" s="4"/>
      <c r="L71" s="4"/>
      <c r="M71" s="4"/>
      <c r="N71" s="4"/>
      <c r="O71" s="4"/>
      <c r="P71" s="4"/>
      <c r="Q71" s="7"/>
      <c r="R71" s="7"/>
      <c r="S71" s="7"/>
      <c r="T71" s="152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ht="24" customHeight="1" x14ac:dyDescent="0.5">
      <c r="A72" s="824" t="s">
        <v>448</v>
      </c>
      <c r="B72" s="8"/>
      <c r="C72" s="167">
        <v>1</v>
      </c>
      <c r="D72" s="362"/>
      <c r="E72" s="168"/>
      <c r="F72" s="168">
        <v>2</v>
      </c>
      <c r="G72" s="169"/>
      <c r="H72" s="490"/>
      <c r="I72" s="167">
        <v>3</v>
      </c>
      <c r="J72" s="362"/>
      <c r="K72" s="167"/>
      <c r="L72" s="167">
        <v>4</v>
      </c>
      <c r="M72" s="167"/>
      <c r="N72" s="490"/>
      <c r="O72" s="167">
        <v>5</v>
      </c>
      <c r="P72" s="362"/>
      <c r="Q72" s="167"/>
      <c r="R72" s="170">
        <v>6</v>
      </c>
      <c r="S72" s="443"/>
      <c r="T72" s="152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ht="15" customHeight="1" x14ac:dyDescent="0.45">
      <c r="A73" s="825"/>
      <c r="B73" s="486"/>
      <c r="C73" s="40"/>
      <c r="D73" s="488"/>
      <c r="E73" s="41" t="s">
        <v>52</v>
      </c>
      <c r="F73" s="41"/>
      <c r="G73" s="105"/>
      <c r="H73" s="486" t="s">
        <v>53</v>
      </c>
      <c r="I73" s="40"/>
      <c r="J73" s="488"/>
      <c r="K73" s="40"/>
      <c r="L73" s="40"/>
      <c r="M73" s="40"/>
      <c r="N73" s="486"/>
      <c r="O73" s="40"/>
      <c r="P73" s="488"/>
      <c r="Q73" s="40"/>
      <c r="R73" s="31"/>
      <c r="S73" s="442"/>
      <c r="T73" s="152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ht="15" customHeight="1" x14ac:dyDescent="0.2">
      <c r="A74" s="6" t="s">
        <v>38</v>
      </c>
      <c r="B74" s="486" t="s">
        <v>0</v>
      </c>
      <c r="C74" s="40" t="s">
        <v>152</v>
      </c>
      <c r="D74" s="488" t="s">
        <v>0</v>
      </c>
      <c r="E74" s="41" t="s">
        <v>0</v>
      </c>
      <c r="F74" s="41" t="s">
        <v>152</v>
      </c>
      <c r="G74" s="106" t="s">
        <v>0</v>
      </c>
      <c r="H74" s="486" t="s">
        <v>0</v>
      </c>
      <c r="I74" s="40" t="s">
        <v>152</v>
      </c>
      <c r="J74" s="488" t="s">
        <v>0</v>
      </c>
      <c r="K74" s="40" t="s">
        <v>0</v>
      </c>
      <c r="L74" s="40" t="s">
        <v>158</v>
      </c>
      <c r="M74" s="40" t="s">
        <v>0</v>
      </c>
      <c r="N74" s="486" t="s">
        <v>0</v>
      </c>
      <c r="O74" s="40" t="s">
        <v>158</v>
      </c>
      <c r="P74" s="488" t="s">
        <v>0</v>
      </c>
      <c r="Q74" s="40" t="s">
        <v>0</v>
      </c>
      <c r="R74" s="31" t="s">
        <v>158</v>
      </c>
      <c r="S74" s="445" t="s">
        <v>0</v>
      </c>
      <c r="T74" s="152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ht="15" customHeight="1" x14ac:dyDescent="0.2">
      <c r="A75" s="245">
        <v>-125</v>
      </c>
      <c r="B75" s="416">
        <v>0.18</v>
      </c>
      <c r="C75" s="343">
        <f>SUM('Pyöreät kanavat ja osat'!Q9)</f>
        <v>0</v>
      </c>
      <c r="D75" s="416">
        <f>SUM(C75*0.18)</f>
        <v>0</v>
      </c>
      <c r="E75" s="416">
        <v>0.37</v>
      </c>
      <c r="F75" s="343">
        <f>SUM('Pyöreät kanavat ja osat'!Q26)</f>
        <v>0</v>
      </c>
      <c r="G75" s="416">
        <f>SUM(F75*0.37)</f>
        <v>0</v>
      </c>
      <c r="H75" s="416">
        <v>0.57999999999999996</v>
      </c>
      <c r="I75" s="343">
        <f>SUM('Pyöreät kanavat ja osat'!Q43)</f>
        <v>0</v>
      </c>
      <c r="J75" s="416">
        <f>SUM(I75*0.58)</f>
        <v>0</v>
      </c>
      <c r="K75" s="416">
        <v>0.18</v>
      </c>
      <c r="L75" s="195">
        <f>SUM('Pyöreät kanavat ja osat'!Q57)</f>
        <v>0</v>
      </c>
      <c r="M75" s="416">
        <f>SUM(L75*0.18)</f>
        <v>0</v>
      </c>
      <c r="N75" s="416">
        <v>0.48</v>
      </c>
      <c r="O75" s="195">
        <f>SUM('Pyöreät kanavat ja osat'!Q71)</f>
        <v>0</v>
      </c>
      <c r="P75" s="416">
        <f>SUM(O75*0.48)</f>
        <v>0</v>
      </c>
      <c r="Q75" s="416">
        <v>1.98</v>
      </c>
      <c r="R75" s="197">
        <f>SUM('Pyöreät kanavat ja osat'!Q85)</f>
        <v>0</v>
      </c>
      <c r="S75" s="108">
        <f>SUM(R75*1.98)</f>
        <v>0</v>
      </c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ht="15" customHeight="1" x14ac:dyDescent="0.2">
      <c r="A76" s="245">
        <v>-200</v>
      </c>
      <c r="B76" s="416">
        <v>0.21</v>
      </c>
      <c r="C76" s="343">
        <f>SUM('Pyöreät kanavat ja osat'!Q10)</f>
        <v>0</v>
      </c>
      <c r="D76" s="416">
        <f>SUM(C76*0.21)</f>
        <v>0</v>
      </c>
      <c r="E76" s="416">
        <v>0.4</v>
      </c>
      <c r="F76" s="343">
        <f>SUM('Pyöreät kanavat ja osat'!Q27)</f>
        <v>0</v>
      </c>
      <c r="G76" s="416">
        <f>SUM(F76*0.4)</f>
        <v>0</v>
      </c>
      <c r="H76" s="416">
        <v>0.63</v>
      </c>
      <c r="I76" s="343">
        <f>SUM('Pyöreät kanavat ja osat'!Q44)</f>
        <v>0</v>
      </c>
      <c r="J76" s="416">
        <f>SUM(I76*0.63)</f>
        <v>0</v>
      </c>
      <c r="K76" s="416">
        <v>0.3</v>
      </c>
      <c r="L76" s="195">
        <f>SUM('Pyöreät kanavat ja osat'!Q58)</f>
        <v>0</v>
      </c>
      <c r="M76" s="416">
        <f>SUM(L76*0.3)</f>
        <v>0</v>
      </c>
      <c r="N76" s="416">
        <v>0.53</v>
      </c>
      <c r="O76" s="195">
        <f>SUM('Pyöreät kanavat ja osat'!Q72)</f>
        <v>0</v>
      </c>
      <c r="P76" s="416">
        <f>SUM(O76*0.53)</f>
        <v>0</v>
      </c>
      <c r="Q76" s="416">
        <v>1.98</v>
      </c>
      <c r="R76" s="197">
        <f>SUM('Pyöreät kanavat ja osat'!Q86)</f>
        <v>0</v>
      </c>
      <c r="S76" s="108">
        <f>SUM(R76*1.98)</f>
        <v>0</v>
      </c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ht="15" customHeight="1" x14ac:dyDescent="0.2">
      <c r="A77" s="245">
        <v>250</v>
      </c>
      <c r="B77" s="416">
        <v>0.25</v>
      </c>
      <c r="C77" s="343">
        <f>SUM('Pyöreät kanavat ja osat'!Q11)</f>
        <v>0</v>
      </c>
      <c r="D77" s="416">
        <f>SUM(C77*0.25)</f>
        <v>0</v>
      </c>
      <c r="E77" s="416">
        <v>0.48</v>
      </c>
      <c r="F77" s="343">
        <f>SUM('Pyöreät kanavat ja osat'!Q28)</f>
        <v>0</v>
      </c>
      <c r="G77" s="416">
        <f>SUM(F77*0.48)</f>
        <v>0</v>
      </c>
      <c r="H77" s="416">
        <v>0.75</v>
      </c>
      <c r="I77" s="343">
        <f>SUM('Pyöreät kanavat ja osat'!Q45)</f>
        <v>0</v>
      </c>
      <c r="J77" s="416">
        <f>SUM(I77*0.75)</f>
        <v>0</v>
      </c>
      <c r="K77" s="416">
        <v>0.35</v>
      </c>
      <c r="L77" s="195">
        <f>SUM('Pyöreät kanavat ja osat'!Q59)</f>
        <v>0</v>
      </c>
      <c r="M77" s="416">
        <f>SUM(L77*0.35)</f>
        <v>0</v>
      </c>
      <c r="N77" s="416">
        <v>0.57999999999999996</v>
      </c>
      <c r="O77" s="195">
        <f>SUM('Pyöreät kanavat ja osat'!Q73)</f>
        <v>0</v>
      </c>
      <c r="P77" s="416">
        <f>SUM(O77*0.58)</f>
        <v>0</v>
      </c>
      <c r="Q77" s="416">
        <v>1.98</v>
      </c>
      <c r="R77" s="197">
        <f>SUM('Pyöreät kanavat ja osat'!Q87)</f>
        <v>0</v>
      </c>
      <c r="S77" s="108">
        <f>SUM(R77*1.98)</f>
        <v>0</v>
      </c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ht="15" customHeight="1" x14ac:dyDescent="0.2">
      <c r="A78" s="245">
        <v>315</v>
      </c>
      <c r="B78" s="416">
        <v>0.28000000000000003</v>
      </c>
      <c r="C78" s="343">
        <f>SUM('Pyöreät kanavat ja osat'!Q12)</f>
        <v>0</v>
      </c>
      <c r="D78" s="416">
        <f>SUM(C78*0.28)</f>
        <v>0</v>
      </c>
      <c r="E78" s="416">
        <v>0.6</v>
      </c>
      <c r="F78" s="343">
        <f>SUM('Pyöreät kanavat ja osat'!Q29)</f>
        <v>0</v>
      </c>
      <c r="G78" s="416">
        <f>SUM(F78*0.6)</f>
        <v>0</v>
      </c>
      <c r="H78" s="416">
        <v>0.93</v>
      </c>
      <c r="I78" s="343">
        <f>SUM('Pyöreät kanavat ja osat'!Q46)</f>
        <v>0</v>
      </c>
      <c r="J78" s="416">
        <f>SUM(I78*0.93)</f>
        <v>0</v>
      </c>
      <c r="K78" s="416">
        <v>0.44</v>
      </c>
      <c r="L78" s="195">
        <f>SUM('Pyöreät kanavat ja osat'!Q60)</f>
        <v>0</v>
      </c>
      <c r="M78" s="416">
        <f>SUM(L78*0.44)</f>
        <v>0</v>
      </c>
      <c r="N78" s="416">
        <v>0.75</v>
      </c>
      <c r="O78" s="195">
        <f>SUM('Pyöreät kanavat ja osat'!Q74)</f>
        <v>0</v>
      </c>
      <c r="P78" s="416">
        <f>SUM(O78*0.75)</f>
        <v>0</v>
      </c>
      <c r="Q78" s="416">
        <v>1.98</v>
      </c>
      <c r="R78" s="197">
        <f>SUM('Pyöreät kanavat ja osat'!Q88)</f>
        <v>0</v>
      </c>
      <c r="S78" s="108">
        <f>SUM(R78*1.98)</f>
        <v>0</v>
      </c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ht="15" customHeight="1" x14ac:dyDescent="0.2">
      <c r="A79" s="245">
        <v>400</v>
      </c>
      <c r="B79" s="416">
        <v>0.32</v>
      </c>
      <c r="C79" s="343">
        <f>SUM('Pyöreät kanavat ja osat'!Q13)</f>
        <v>0</v>
      </c>
      <c r="D79" s="416">
        <f>SUM(C79*0.32)</f>
        <v>0</v>
      </c>
      <c r="E79" s="416">
        <v>0.68</v>
      </c>
      <c r="F79" s="343">
        <f>SUM('Pyöreät kanavat ja osat'!Q30)</f>
        <v>0</v>
      </c>
      <c r="G79" s="416">
        <f>SUM(F79*0.68)</f>
        <v>0</v>
      </c>
      <c r="H79" s="416">
        <v>1.06</v>
      </c>
      <c r="I79" s="343">
        <f>SUM('Pyöreät kanavat ja osat'!Q47)</f>
        <v>0</v>
      </c>
      <c r="J79" s="416">
        <f>SUM(I79*1.06)</f>
        <v>0</v>
      </c>
      <c r="K79" s="416">
        <v>0.53</v>
      </c>
      <c r="L79" s="195">
        <f>SUM('Pyöreät kanavat ja osat'!Q61)</f>
        <v>0</v>
      </c>
      <c r="M79" s="416">
        <f>SUM(L79*0.53)</f>
        <v>0</v>
      </c>
      <c r="N79" s="416">
        <v>0.96</v>
      </c>
      <c r="O79" s="195">
        <f>SUM('Pyöreät kanavat ja osat'!Q75)</f>
        <v>0</v>
      </c>
      <c r="P79" s="416">
        <f>SUM(O79*0.96)</f>
        <v>0</v>
      </c>
      <c r="Q79" s="416">
        <v>2.84</v>
      </c>
      <c r="R79" s="197">
        <f>SUM('Pyöreät kanavat ja osat'!Q89)</f>
        <v>0</v>
      </c>
      <c r="S79" s="108">
        <f>SUM(R79*2.84)</f>
        <v>0</v>
      </c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ht="15" customHeight="1" x14ac:dyDescent="0.2">
      <c r="A80" s="245">
        <v>500</v>
      </c>
      <c r="B80" s="416">
        <v>0.41</v>
      </c>
      <c r="C80" s="343">
        <f>SUM('Pyöreät kanavat ja osat'!Q14)</f>
        <v>0</v>
      </c>
      <c r="D80" s="416">
        <f>SUM(C80*0.41)</f>
        <v>0</v>
      </c>
      <c r="E80" s="416">
        <v>0.84</v>
      </c>
      <c r="F80" s="343">
        <f>SUM('Pyöreät kanavat ja osat'!Q31)</f>
        <v>0</v>
      </c>
      <c r="G80" s="416">
        <f>SUM(F80*0.84)</f>
        <v>0</v>
      </c>
      <c r="H80" s="416">
        <v>1.34</v>
      </c>
      <c r="I80" s="343">
        <f>SUM('Pyöreät kanavat ja osat'!Q48)</f>
        <v>0</v>
      </c>
      <c r="J80" s="416">
        <f>SUM(I80*1.34)</f>
        <v>0</v>
      </c>
      <c r="K80" s="416">
        <v>0.67</v>
      </c>
      <c r="L80" s="195">
        <f>SUM('Pyöreät kanavat ja osat'!Q62)</f>
        <v>0</v>
      </c>
      <c r="M80" s="416">
        <f>SUM(L80*0.67)</f>
        <v>0</v>
      </c>
      <c r="N80" s="416">
        <v>1.03</v>
      </c>
      <c r="O80" s="195">
        <f>SUM('Pyöreät kanavat ja osat'!Q76)</f>
        <v>0</v>
      </c>
      <c r="P80" s="416">
        <f>SUM(O80*1.03)</f>
        <v>0</v>
      </c>
      <c r="Q80" s="416">
        <v>2.84</v>
      </c>
      <c r="R80" s="197">
        <f>SUM('Pyöreät kanavat ja osat'!Q90)</f>
        <v>0</v>
      </c>
      <c r="S80" s="108">
        <f>SUM(R80*2.84)</f>
        <v>0</v>
      </c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ht="15" customHeight="1" x14ac:dyDescent="0.2">
      <c r="A81" s="245">
        <v>630</v>
      </c>
      <c r="B81" s="416">
        <v>0.54</v>
      </c>
      <c r="C81" s="343">
        <f>SUM('Pyöreät kanavat ja osat'!Q15)</f>
        <v>0</v>
      </c>
      <c r="D81" s="416">
        <f>SUM(C81*0.54)</f>
        <v>0</v>
      </c>
      <c r="E81" s="416">
        <v>1.08</v>
      </c>
      <c r="F81" s="343">
        <f>SUM('Pyöreät kanavat ja osat'!Q32)</f>
        <v>0</v>
      </c>
      <c r="G81" s="416">
        <f>SUM(F81*1.08)</f>
        <v>0</v>
      </c>
      <c r="H81" s="416">
        <v>1.69</v>
      </c>
      <c r="I81" s="343">
        <f>SUM('Pyöreät kanavat ja osat'!Q49)</f>
        <v>0</v>
      </c>
      <c r="J81" s="416">
        <f>SUM(I81*1.69)</f>
        <v>0</v>
      </c>
      <c r="K81" s="416">
        <v>0.8</v>
      </c>
      <c r="L81" s="195">
        <f>SUM('Pyöreät kanavat ja osat'!Q63)</f>
        <v>0</v>
      </c>
      <c r="M81" s="416">
        <f>SUM(L81*0.8)</f>
        <v>0</v>
      </c>
      <c r="N81" s="416">
        <v>1.46</v>
      </c>
      <c r="O81" s="195">
        <f>SUM('Pyöreät kanavat ja osat'!Q77)</f>
        <v>0</v>
      </c>
      <c r="P81" s="416">
        <f>SUM(O81*1.46)</f>
        <v>0</v>
      </c>
      <c r="Q81" s="416">
        <v>2.84</v>
      </c>
      <c r="R81" s="197">
        <f>SUM('Pyöreät kanavat ja osat'!Q91)</f>
        <v>0</v>
      </c>
      <c r="S81" s="108">
        <f>SUM(R81*2.84)</f>
        <v>0</v>
      </c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ht="15" customHeight="1" x14ac:dyDescent="0.2">
      <c r="A82" s="250">
        <v>800</v>
      </c>
      <c r="B82" s="416">
        <v>0.6</v>
      </c>
      <c r="C82" s="343">
        <f>SUM('Pyöreät kanavat ja osat'!Q16)</f>
        <v>0</v>
      </c>
      <c r="D82" s="416">
        <f>SUM(C82*0.6)</f>
        <v>0</v>
      </c>
      <c r="E82" s="416">
        <v>1.3</v>
      </c>
      <c r="F82" s="343">
        <f>SUM('Pyöreät kanavat ja osat'!Q33)</f>
        <v>0</v>
      </c>
      <c r="G82" s="416">
        <f>SUM(F82*1.3)</f>
        <v>0</v>
      </c>
      <c r="H82" s="416">
        <v>2.04</v>
      </c>
      <c r="I82" s="343">
        <f>SUM('Pyöreät kanavat ja osat'!Q50)</f>
        <v>0</v>
      </c>
      <c r="J82" s="416">
        <f>SUM(I82*2.04)</f>
        <v>0</v>
      </c>
      <c r="K82" s="416">
        <v>1.07</v>
      </c>
      <c r="L82" s="195">
        <f>SUM('Pyöreät kanavat ja osat'!Q64)</f>
        <v>0</v>
      </c>
      <c r="M82" s="416">
        <f>SUM(L82*1.07)</f>
        <v>0</v>
      </c>
      <c r="N82" s="416">
        <v>1.98</v>
      </c>
      <c r="O82" s="195">
        <f>SUM('Pyöreät kanavat ja osat'!Q78)</f>
        <v>0</v>
      </c>
      <c r="P82" s="416">
        <f>SUM(O82*1.98)</f>
        <v>0</v>
      </c>
      <c r="Q82" s="416">
        <v>3.97</v>
      </c>
      <c r="R82" s="197">
        <f>SUM('Pyöreät kanavat ja osat'!Q92)</f>
        <v>0</v>
      </c>
      <c r="S82" s="108">
        <f>SUM(R82*3.97)</f>
        <v>0</v>
      </c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ht="15.75" customHeight="1" x14ac:dyDescent="0.2">
      <c r="A83" s="245">
        <v>1000</v>
      </c>
      <c r="B83" s="416">
        <v>1.02</v>
      </c>
      <c r="C83" s="343">
        <f>SUM('Pyöreät kanavat ja osat'!Q17)</f>
        <v>0</v>
      </c>
      <c r="D83" s="416">
        <f>SUM(C83*1.02)</f>
        <v>0</v>
      </c>
      <c r="E83" s="416">
        <v>1.6</v>
      </c>
      <c r="F83" s="343">
        <f>SUM('Pyöreät kanavat ja osat'!Q34)</f>
        <v>0</v>
      </c>
      <c r="G83" s="416">
        <f>SUM(F83*1.6)</f>
        <v>0</v>
      </c>
      <c r="H83" s="416">
        <v>2.48</v>
      </c>
      <c r="I83" s="343">
        <f>SUM('Pyöreät kanavat ja osat'!Q51)</f>
        <v>0</v>
      </c>
      <c r="J83" s="416">
        <f>SUM(I83*2.48)</f>
        <v>0</v>
      </c>
      <c r="K83" s="416">
        <v>1.34</v>
      </c>
      <c r="L83" s="195">
        <f>SUM('Pyöreät kanavat ja osat'!Q65)</f>
        <v>0</v>
      </c>
      <c r="M83" s="416">
        <f>SUM(L83*1.34)</f>
        <v>0</v>
      </c>
      <c r="N83" s="416">
        <v>2.65</v>
      </c>
      <c r="O83" s="195">
        <f>SUM('Pyöreät kanavat ja osat'!Q79)</f>
        <v>0</v>
      </c>
      <c r="P83" s="416">
        <f>SUM(O83*2.65)</f>
        <v>0</v>
      </c>
      <c r="Q83" s="416">
        <v>3.97</v>
      </c>
      <c r="R83" s="197">
        <f>SUM('Pyöreät kanavat ja osat'!Q93)</f>
        <v>0</v>
      </c>
      <c r="S83" s="108">
        <f>SUM(R83*3.97)</f>
        <v>0</v>
      </c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ht="14.25" customHeight="1" x14ac:dyDescent="0.2">
      <c r="A84" s="245">
        <v>1250</v>
      </c>
      <c r="B84" s="416">
        <v>1.34</v>
      </c>
      <c r="C84" s="343">
        <f>SUM('Pyöreät kanavat ja osat'!Q18)</f>
        <v>0</v>
      </c>
      <c r="D84" s="416">
        <f>SUM(C84*1.34)</f>
        <v>0</v>
      </c>
      <c r="E84" s="416">
        <v>1.98</v>
      </c>
      <c r="F84" s="343">
        <f>SUM('Pyöreät kanavat ja osat'!Q35)</f>
        <v>0</v>
      </c>
      <c r="G84" s="416">
        <f>SUM(F84*1.98)</f>
        <v>0</v>
      </c>
      <c r="H84" s="416">
        <v>2.92</v>
      </c>
      <c r="I84" s="343">
        <f>SUM('Pyöreät kanavat ja osat'!Q52)</f>
        <v>0</v>
      </c>
      <c r="J84" s="416">
        <f>SUM(I84*2.92)</f>
        <v>0</v>
      </c>
      <c r="K84" s="416">
        <v>1.79</v>
      </c>
      <c r="L84" s="195">
        <f>SUM('Pyöreät kanavat ja osat'!Q66)</f>
        <v>0</v>
      </c>
      <c r="M84" s="416">
        <f>SUM(L84*1.79)</f>
        <v>0</v>
      </c>
      <c r="N84" s="416">
        <v>3.44</v>
      </c>
      <c r="O84" s="195">
        <f>SUM('Pyöreät kanavat ja osat'!Q80)</f>
        <v>0</v>
      </c>
      <c r="P84" s="416">
        <f>SUM(O84*3.44)</f>
        <v>0</v>
      </c>
      <c r="Q84" s="416">
        <v>3.97</v>
      </c>
      <c r="R84" s="197">
        <f>SUM('Pyöreät kanavat ja osat'!Q94)</f>
        <v>0</v>
      </c>
      <c r="S84" s="108">
        <f>SUM(R84*3.97)</f>
        <v>0</v>
      </c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ht="15" customHeight="1" thickBot="1" x14ac:dyDescent="0.25">
      <c r="A85" s="6"/>
      <c r="B85" s="10"/>
      <c r="C85" s="97" t="s">
        <v>0</v>
      </c>
      <c r="D85" s="755">
        <f>SUM(D75:D84)</f>
        <v>0</v>
      </c>
      <c r="E85" s="196"/>
      <c r="F85" s="196" t="s">
        <v>0</v>
      </c>
      <c r="G85" s="755">
        <f>SUM(G75:G84)</f>
        <v>0</v>
      </c>
      <c r="H85" s="196"/>
      <c r="I85" s="196" t="s">
        <v>0</v>
      </c>
      <c r="J85" s="755">
        <f>SUM(J75:J84)</f>
        <v>0</v>
      </c>
      <c r="K85" s="97"/>
      <c r="L85" s="196" t="s">
        <v>0</v>
      </c>
      <c r="M85" s="755">
        <f>SUM(M75:M84)</f>
        <v>0</v>
      </c>
      <c r="N85" s="97"/>
      <c r="O85" s="196" t="s">
        <v>0</v>
      </c>
      <c r="P85" s="755">
        <f>SUM(P75:P84)</f>
        <v>0</v>
      </c>
      <c r="Q85" s="97"/>
      <c r="R85" s="198" t="s">
        <v>0</v>
      </c>
      <c r="S85" s="756">
        <f>SUM(S75:S84)</f>
        <v>0</v>
      </c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ht="15" customHeight="1" x14ac:dyDescent="0.45">
      <c r="A86" s="6"/>
      <c r="B86" s="4"/>
      <c r="C86" s="4"/>
      <c r="D86" s="4"/>
      <c r="E86" s="4"/>
      <c r="F86" s="10"/>
      <c r="G86" s="90"/>
      <c r="H86" s="7"/>
      <c r="I86" s="7"/>
      <c r="J86" s="7"/>
      <c r="K86" s="7"/>
      <c r="L86" s="10"/>
      <c r="M86" s="10"/>
      <c r="N86" s="10"/>
      <c r="O86" s="10"/>
      <c r="P86" s="10"/>
      <c r="Q86" s="10"/>
      <c r="R86" s="10"/>
      <c r="S86" s="102"/>
      <c r="T86" s="120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ht="15" customHeight="1" x14ac:dyDescent="0.2">
      <c r="A87" s="7"/>
      <c r="B87" s="17"/>
      <c r="C87" s="17"/>
      <c r="D87" s="17"/>
      <c r="E87" s="25"/>
      <c r="F87" s="25"/>
      <c r="G87" s="782" t="s">
        <v>448</v>
      </c>
      <c r="H87" s="490"/>
      <c r="I87" s="171">
        <v>7</v>
      </c>
      <c r="J87" s="172"/>
      <c r="K87" s="167"/>
      <c r="L87" s="493">
        <v>8</v>
      </c>
      <c r="M87" s="493"/>
      <c r="N87" s="490"/>
      <c r="O87" s="494">
        <v>9</v>
      </c>
      <c r="P87" s="495"/>
      <c r="Q87" s="496"/>
      <c r="R87" s="171">
        <v>10</v>
      </c>
      <c r="S87" s="13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ht="15" customHeight="1" x14ac:dyDescent="0.2">
      <c r="A88" s="7"/>
      <c r="B88" s="17"/>
      <c r="C88" s="17"/>
      <c r="D88" s="17"/>
      <c r="E88" s="187"/>
      <c r="F88" s="25"/>
      <c r="G88" s="783"/>
      <c r="H88" s="486"/>
      <c r="I88" s="164"/>
      <c r="J88" s="487"/>
      <c r="K88" s="483"/>
      <c r="L88" s="164"/>
      <c r="M88" s="484"/>
      <c r="N88" s="489"/>
      <c r="O88" s="166"/>
      <c r="P88" s="446"/>
      <c r="Q88" s="22"/>
      <c r="R88" s="164"/>
      <c r="S88" s="14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ht="15" customHeight="1" x14ac:dyDescent="0.2">
      <c r="A89" s="7" t="s">
        <v>159</v>
      </c>
      <c r="B89" s="17"/>
      <c r="C89" s="17"/>
      <c r="D89" s="17"/>
      <c r="E89" s="25"/>
      <c r="F89" s="25"/>
      <c r="G89" s="486" t="s">
        <v>38</v>
      </c>
      <c r="H89" s="486" t="s">
        <v>0</v>
      </c>
      <c r="I89" s="21" t="s">
        <v>158</v>
      </c>
      <c r="J89" s="488" t="s">
        <v>0</v>
      </c>
      <c r="K89" s="40" t="s">
        <v>0</v>
      </c>
      <c r="L89" s="21" t="s">
        <v>158</v>
      </c>
      <c r="M89" s="40" t="s">
        <v>0</v>
      </c>
      <c r="N89" s="486" t="s">
        <v>0</v>
      </c>
      <c r="O89" s="485" t="s">
        <v>158</v>
      </c>
      <c r="P89" s="488" t="s">
        <v>0</v>
      </c>
      <c r="Q89" s="40" t="s">
        <v>0</v>
      </c>
      <c r="R89" s="485" t="s">
        <v>158</v>
      </c>
      <c r="S89" s="491" t="s">
        <v>0</v>
      </c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ht="15.75" customHeight="1" x14ac:dyDescent="0.2">
      <c r="A90" s="7" t="s">
        <v>443</v>
      </c>
      <c r="B90" s="7"/>
      <c r="C90" s="17"/>
      <c r="D90" s="17"/>
      <c r="E90" s="25"/>
      <c r="F90" s="25"/>
      <c r="G90" s="245">
        <v>-125</v>
      </c>
      <c r="H90" s="416">
        <v>0.37</v>
      </c>
      <c r="I90" s="197">
        <f>SUM('Pyöreät kanavat ja osat'!Q99)</f>
        <v>0</v>
      </c>
      <c r="J90" s="108">
        <f>SUM(I90*0.37)</f>
        <v>0</v>
      </c>
      <c r="K90" s="108">
        <v>0.28000000000000003</v>
      </c>
      <c r="L90" s="197">
        <f>SUM('Pyöreät kanavat ja osat'!Q113)</f>
        <v>0</v>
      </c>
      <c r="M90" s="108">
        <f>SUM(L90*0.28)</f>
        <v>0</v>
      </c>
      <c r="N90" s="108">
        <v>0.7</v>
      </c>
      <c r="O90" s="197">
        <f>SUM('Pyöreät kanavat ja osat'!Q128)</f>
        <v>0</v>
      </c>
      <c r="P90" s="108">
        <f>SUM(O90*0.7)</f>
        <v>0</v>
      </c>
      <c r="Q90" s="108">
        <v>0.23</v>
      </c>
      <c r="R90" s="197">
        <f>SUM('Pyöreät kanavat ja osat'!Q143)</f>
        <v>0</v>
      </c>
      <c r="S90" s="108">
        <f>SUM(R90*Q90)</f>
        <v>0</v>
      </c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ht="15.75" customHeight="1" x14ac:dyDescent="0.2">
      <c r="A91" s="91" t="s">
        <v>444</v>
      </c>
      <c r="B91" s="7"/>
      <c r="C91" s="17"/>
      <c r="D91" s="17"/>
      <c r="E91" s="25"/>
      <c r="F91" s="25"/>
      <c r="G91" s="245">
        <v>-200</v>
      </c>
      <c r="H91" s="416">
        <v>0.4</v>
      </c>
      <c r="I91" s="197">
        <f>SUM('Pyöreät kanavat ja osat'!Q100)</f>
        <v>0</v>
      </c>
      <c r="J91" s="108">
        <f>SUM(I91*0.4)</f>
        <v>0</v>
      </c>
      <c r="K91" s="108">
        <v>0.3</v>
      </c>
      <c r="L91" s="197">
        <f>SUM('Pyöreät kanavat ja osat'!Q114)</f>
        <v>0</v>
      </c>
      <c r="M91" s="108">
        <f>SUM(L91*0.3)</f>
        <v>0</v>
      </c>
      <c r="N91" s="108">
        <v>0.75</v>
      </c>
      <c r="O91" s="197">
        <f>SUM('Pyöreät kanavat ja osat'!Q129)</f>
        <v>0</v>
      </c>
      <c r="P91" s="108">
        <f>SUM(O91*0.75)</f>
        <v>0</v>
      </c>
      <c r="Q91" s="108">
        <v>0.26</v>
      </c>
      <c r="R91" s="197">
        <f>SUM('Pyöreät kanavat ja osat'!Q144)</f>
        <v>0</v>
      </c>
      <c r="S91" s="108">
        <f t="shared" ref="S91:S99" si="0">SUM(R91*Q91)</f>
        <v>0</v>
      </c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ht="15" customHeight="1" x14ac:dyDescent="0.2">
      <c r="A92" s="91" t="s">
        <v>490</v>
      </c>
      <c r="B92" s="7"/>
      <c r="C92" s="17"/>
      <c r="D92" s="17"/>
      <c r="E92" s="25"/>
      <c r="F92" s="25"/>
      <c r="G92" s="245">
        <v>250</v>
      </c>
      <c r="H92" s="416">
        <v>0.48</v>
      </c>
      <c r="I92" s="197">
        <f>SUM('Pyöreät kanavat ja osat'!Q101)</f>
        <v>0</v>
      </c>
      <c r="J92" s="108">
        <f>SUM(I92*0.48)</f>
        <v>0</v>
      </c>
      <c r="K92" s="108">
        <v>0.36</v>
      </c>
      <c r="L92" s="197">
        <f>SUM('Pyöreät kanavat ja osat'!Q115)</f>
        <v>0</v>
      </c>
      <c r="M92" s="108">
        <f>SUM(L92*0.36)</f>
        <v>0</v>
      </c>
      <c r="N92" s="108">
        <v>0.9</v>
      </c>
      <c r="O92" s="197">
        <f>SUM('Pyöreät kanavat ja osat'!Q130)</f>
        <v>0</v>
      </c>
      <c r="P92" s="108">
        <f>SUM(O92*0.9)</f>
        <v>0</v>
      </c>
      <c r="Q92" s="108">
        <v>0.31</v>
      </c>
      <c r="R92" s="197">
        <f>SUM('Pyöreät kanavat ja osat'!Q145)</f>
        <v>0</v>
      </c>
      <c r="S92" s="108">
        <f t="shared" si="0"/>
        <v>0</v>
      </c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ht="15" customHeight="1" x14ac:dyDescent="0.2">
      <c r="A93" s="4" t="s">
        <v>445</v>
      </c>
      <c r="B93" s="7"/>
      <c r="C93" s="17"/>
      <c r="D93" s="17"/>
      <c r="E93" s="25"/>
      <c r="F93" s="25"/>
      <c r="G93" s="245">
        <v>315</v>
      </c>
      <c r="H93" s="416">
        <v>0.6</v>
      </c>
      <c r="I93" s="197">
        <f>SUM('Pyöreät kanavat ja osat'!Q102)</f>
        <v>0</v>
      </c>
      <c r="J93" s="108">
        <f>SUM(I93*0.6)</f>
        <v>0</v>
      </c>
      <c r="K93" s="108">
        <v>0.45</v>
      </c>
      <c r="L93" s="197">
        <f>SUM('Pyöreät kanavat ja osat'!Q116)</f>
        <v>0</v>
      </c>
      <c r="M93" s="108">
        <f>SUM(L93*0.45)</f>
        <v>0</v>
      </c>
      <c r="N93" s="108">
        <v>1.1299999999999999</v>
      </c>
      <c r="O93" s="197">
        <f>SUM('Pyöreät kanavat ja osat'!Q131)</f>
        <v>0</v>
      </c>
      <c r="P93" s="108">
        <f>SUM(O93*1.13)</f>
        <v>0</v>
      </c>
      <c r="Q93" s="108">
        <v>0.35</v>
      </c>
      <c r="R93" s="197">
        <f>SUM('Pyöreät kanavat ja osat'!Q146)</f>
        <v>0</v>
      </c>
      <c r="S93" s="108">
        <f t="shared" si="0"/>
        <v>0</v>
      </c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ht="15.75" customHeight="1" x14ac:dyDescent="0.2">
      <c r="A94" s="4" t="s">
        <v>485</v>
      </c>
      <c r="B94" s="7"/>
      <c r="C94" s="17"/>
      <c r="D94" s="17"/>
      <c r="E94" s="25"/>
      <c r="F94" s="25"/>
      <c r="G94" s="245">
        <v>400</v>
      </c>
      <c r="H94" s="416">
        <v>0.68</v>
      </c>
      <c r="I94" s="197">
        <f>SUM('Pyöreät kanavat ja osat'!Q103)</f>
        <v>0</v>
      </c>
      <c r="J94" s="108">
        <f>SUM(I94*0.68)</f>
        <v>0</v>
      </c>
      <c r="K94" s="108">
        <v>0.51</v>
      </c>
      <c r="L94" s="197">
        <f>SUM('Pyöreät kanavat ja osat'!Q117)</f>
        <v>0</v>
      </c>
      <c r="M94" s="108">
        <f>SUM(L94*0.51)</f>
        <v>0</v>
      </c>
      <c r="N94" s="108">
        <v>1.28</v>
      </c>
      <c r="O94" s="197">
        <f>SUM('Pyöreät kanavat ja osat'!Q132)</f>
        <v>0</v>
      </c>
      <c r="P94" s="108">
        <f>SUM(O94*1.28)</f>
        <v>0</v>
      </c>
      <c r="Q94" s="108">
        <v>0.4</v>
      </c>
      <c r="R94" s="197">
        <f>SUM('Pyöreät kanavat ja osat'!Q147)</f>
        <v>0</v>
      </c>
      <c r="S94" s="108">
        <f t="shared" si="0"/>
        <v>0</v>
      </c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ht="15" customHeight="1" x14ac:dyDescent="0.2">
      <c r="A95" s="4" t="s">
        <v>529</v>
      </c>
      <c r="B95" s="7"/>
      <c r="C95" s="17"/>
      <c r="D95" s="17"/>
      <c r="E95" s="25"/>
      <c r="F95" s="25"/>
      <c r="G95" s="245">
        <v>500</v>
      </c>
      <c r="H95" s="416">
        <v>0.85</v>
      </c>
      <c r="I95" s="197">
        <f>SUM('Pyöreät kanavat ja osat'!Q104)</f>
        <v>0</v>
      </c>
      <c r="J95" s="108">
        <f>SUM(I95*0.85)</f>
        <v>0</v>
      </c>
      <c r="K95" s="108">
        <v>0.63</v>
      </c>
      <c r="L95" s="197">
        <f>SUM('Pyöreät kanavat ja osat'!Q118)</f>
        <v>0</v>
      </c>
      <c r="M95" s="108">
        <f>SUM(L95*0.63)</f>
        <v>0</v>
      </c>
      <c r="N95" s="108">
        <v>1.58</v>
      </c>
      <c r="O95" s="197">
        <f>SUM('Pyöreät kanavat ja osat'!Q133)</f>
        <v>0</v>
      </c>
      <c r="P95" s="108">
        <f>SUM(O95*1.58)</f>
        <v>0</v>
      </c>
      <c r="Q95" s="108">
        <v>0.51</v>
      </c>
      <c r="R95" s="197">
        <f>SUM('Pyöreät kanavat ja osat'!Q148)</f>
        <v>0</v>
      </c>
      <c r="S95" s="108">
        <f t="shared" si="0"/>
        <v>0</v>
      </c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ht="15.75" customHeight="1" x14ac:dyDescent="0.2">
      <c r="A96" s="444" t="s">
        <v>442</v>
      </c>
      <c r="B96" s="7"/>
      <c r="C96" s="17"/>
      <c r="D96" s="17"/>
      <c r="E96" s="25"/>
      <c r="F96" s="25"/>
      <c r="G96" s="245">
        <v>630</v>
      </c>
      <c r="H96" s="416">
        <v>0.96</v>
      </c>
      <c r="I96" s="197">
        <f>SUM('Pyöreät kanavat ja osat'!Q105)</f>
        <v>0</v>
      </c>
      <c r="J96" s="108">
        <f>SUM(I96*0.96)</f>
        <v>0</v>
      </c>
      <c r="K96" s="108">
        <v>0.8</v>
      </c>
      <c r="L96" s="197">
        <f>SUM('Pyöreät kanavat ja osat'!Q119)</f>
        <v>0</v>
      </c>
      <c r="M96" s="108">
        <f>SUM(L96*0.8)</f>
        <v>0</v>
      </c>
      <c r="N96" s="108">
        <v>2</v>
      </c>
      <c r="O96" s="197">
        <f>SUM('Pyöreät kanavat ja osat'!Q134)</f>
        <v>0</v>
      </c>
      <c r="P96" s="108">
        <f>SUM(O96*2)</f>
        <v>0</v>
      </c>
      <c r="Q96" s="108">
        <v>0.68</v>
      </c>
      <c r="R96" s="197">
        <f>SUM('Pyöreät kanavat ja osat'!Q149)</f>
        <v>0</v>
      </c>
      <c r="S96" s="108">
        <f t="shared" si="0"/>
        <v>0</v>
      </c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ht="15.75" customHeight="1" x14ac:dyDescent="0.2">
      <c r="A97" s="444" t="s">
        <v>242</v>
      </c>
      <c r="B97" s="7"/>
      <c r="C97" s="17"/>
      <c r="D97" s="17"/>
      <c r="E97" s="25"/>
      <c r="G97" s="250">
        <v>800</v>
      </c>
      <c r="H97" s="416">
        <v>1.3</v>
      </c>
      <c r="I97" s="197">
        <f>SUM('Pyöreät kanavat ja osat'!Q106)</f>
        <v>0</v>
      </c>
      <c r="J97" s="108">
        <f>SUM(I97*1.3)</f>
        <v>0</v>
      </c>
      <c r="K97" s="108">
        <v>0.97</v>
      </c>
      <c r="L97" s="197">
        <f>SUM('Pyöreät kanavat ja osat'!Q120)</f>
        <v>0</v>
      </c>
      <c r="M97" s="108">
        <f>SUM(L97*0.97)</f>
        <v>0</v>
      </c>
      <c r="N97" s="108">
        <v>2.4300000000000002</v>
      </c>
      <c r="O97" s="197">
        <f>SUM('Pyöreät kanavat ja osat'!Q135)</f>
        <v>0</v>
      </c>
      <c r="P97" s="108">
        <f>SUM(O97*2.43)</f>
        <v>0</v>
      </c>
      <c r="Q97" s="108">
        <v>0.75</v>
      </c>
      <c r="R97" s="197">
        <f>SUM('Pyöreät kanavat ja osat'!Q150)</f>
        <v>0</v>
      </c>
      <c r="S97" s="108">
        <f t="shared" si="0"/>
        <v>0</v>
      </c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ht="15" customHeight="1" x14ac:dyDescent="0.2">
      <c r="A98" s="444" t="s">
        <v>163</v>
      </c>
      <c r="B98" s="7"/>
      <c r="C98" s="17"/>
      <c r="D98" s="17"/>
      <c r="E98" s="25"/>
      <c r="G98" s="245">
        <v>1000</v>
      </c>
      <c r="H98" s="416">
        <v>1.59</v>
      </c>
      <c r="I98" s="197">
        <f>SUM('Pyöreät kanavat ja osat'!Q107)</f>
        <v>0</v>
      </c>
      <c r="J98" s="108">
        <f>SUM(I98*1.59)</f>
        <v>0</v>
      </c>
      <c r="K98" s="108">
        <v>1.18</v>
      </c>
      <c r="L98" s="197">
        <f>SUM('Pyöreät kanavat ja osat'!Q121)</f>
        <v>0</v>
      </c>
      <c r="M98" s="108">
        <f>SUM(L98*1.18)</f>
        <v>0</v>
      </c>
      <c r="N98" s="108">
        <v>2.9</v>
      </c>
      <c r="O98" s="197">
        <f>SUM('Pyöreät kanavat ja osat'!Q136)</f>
        <v>0</v>
      </c>
      <c r="P98" s="108">
        <f>SUM(O98*2.9)</f>
        <v>0</v>
      </c>
      <c r="Q98" s="108">
        <v>1.28</v>
      </c>
      <c r="R98" s="197">
        <f>SUM('Pyöreät kanavat ja osat'!Q151)</f>
        <v>0</v>
      </c>
      <c r="S98" s="108">
        <f t="shared" si="0"/>
        <v>0</v>
      </c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ht="15.75" customHeight="1" x14ac:dyDescent="0.2">
      <c r="A99" s="444" t="s">
        <v>446</v>
      </c>
      <c r="B99" s="7"/>
      <c r="C99" s="17"/>
      <c r="D99" s="17"/>
      <c r="E99" s="25"/>
      <c r="G99" s="245">
        <v>1250</v>
      </c>
      <c r="H99" s="416">
        <v>1.87</v>
      </c>
      <c r="I99" s="197">
        <f>SUM('Pyöreät kanavat ja osat'!Q108)</f>
        <v>0</v>
      </c>
      <c r="J99" s="108">
        <f>SUM(I99*1.87)</f>
        <v>0</v>
      </c>
      <c r="K99" s="108">
        <v>1.33</v>
      </c>
      <c r="L99" s="197">
        <f>SUM('Pyöreät kanavat ja osat'!Q122)</f>
        <v>0</v>
      </c>
      <c r="M99" s="108">
        <f>SUM(L99*1.33)</f>
        <v>0</v>
      </c>
      <c r="N99" s="108">
        <v>3.33</v>
      </c>
      <c r="O99" s="197">
        <f>SUM('Pyöreät kanavat ja osat'!Q137)</f>
        <v>0</v>
      </c>
      <c r="P99" s="108">
        <f>SUM(O99*3.33)</f>
        <v>0</v>
      </c>
      <c r="Q99" s="108">
        <v>1.68</v>
      </c>
      <c r="R99" s="197">
        <f>SUM('Pyöreät kanavat ja osat'!Q152)</f>
        <v>0</v>
      </c>
      <c r="S99" s="108">
        <f t="shared" si="0"/>
        <v>0</v>
      </c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ht="15.75" customHeight="1" thickBot="1" x14ac:dyDescent="0.25">
      <c r="A100" s="481" t="s">
        <v>447</v>
      </c>
      <c r="B100" s="482"/>
      <c r="C100" s="17"/>
      <c r="D100" s="17"/>
      <c r="E100" s="10"/>
      <c r="G100" s="10"/>
      <c r="H100" s="97"/>
      <c r="I100" s="97" t="s">
        <v>0</v>
      </c>
      <c r="J100" s="755">
        <f>SUM(J90:J99)</f>
        <v>0</v>
      </c>
      <c r="K100" s="68"/>
      <c r="L100" s="186" t="s">
        <v>0</v>
      </c>
      <c r="M100" s="756">
        <f>SUM(M90:M99)</f>
        <v>0</v>
      </c>
      <c r="N100" s="97"/>
      <c r="O100" s="186" t="s">
        <v>0</v>
      </c>
      <c r="P100" s="756">
        <f>SUM(P90:P99)</f>
        <v>0</v>
      </c>
      <c r="Q100" s="97"/>
      <c r="R100" s="186" t="s">
        <v>0</v>
      </c>
      <c r="S100" s="756">
        <f>SUM(S90:S99)</f>
        <v>0</v>
      </c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ht="9" customHeight="1" x14ac:dyDescent="0.45">
      <c r="A101" s="6"/>
      <c r="B101" s="10"/>
      <c r="C101" s="17"/>
      <c r="D101" s="17"/>
      <c r="E101" s="10"/>
      <c r="F101" s="10"/>
      <c r="G101" s="90"/>
      <c r="H101" s="7"/>
      <c r="I101" s="7"/>
      <c r="J101" s="10"/>
      <c r="K101" s="10"/>
      <c r="L101" s="10"/>
      <c r="M101" s="10"/>
      <c r="N101" s="7"/>
      <c r="O101" s="10"/>
      <c r="P101" s="7"/>
      <c r="Q101" s="7"/>
      <c r="R101" s="7"/>
      <c r="S101" s="102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ht="19.5" customHeight="1" thickBot="1" x14ac:dyDescent="0.5">
      <c r="A102" s="6"/>
      <c r="B102" s="10"/>
      <c r="C102" s="17"/>
      <c r="D102" s="17"/>
      <c r="E102" s="10"/>
      <c r="F102" s="10"/>
      <c r="G102" s="90"/>
      <c r="H102" s="7"/>
      <c r="I102" s="7"/>
      <c r="J102" s="10"/>
      <c r="K102" s="10"/>
      <c r="L102" s="10"/>
      <c r="M102" s="10"/>
      <c r="N102" s="10"/>
      <c r="O102" s="10"/>
      <c r="P102" s="97" t="s">
        <v>220</v>
      </c>
      <c r="Q102" s="97" t="s">
        <v>0</v>
      </c>
      <c r="R102" s="252">
        <f>SUM(D85+G85+J85+M85+P85+S85+J100+M100+P100+S100)</f>
        <v>0</v>
      </c>
      <c r="S102" s="102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ht="28.5" customHeight="1" x14ac:dyDescent="0.45">
      <c r="A103" s="6"/>
      <c r="B103" s="10"/>
      <c r="C103" s="17"/>
      <c r="D103" s="17"/>
      <c r="E103" s="10"/>
      <c r="F103" s="10"/>
      <c r="G103" s="90"/>
      <c r="H103" s="7"/>
      <c r="I103" s="7"/>
      <c r="J103" s="10"/>
      <c r="K103" s="10"/>
      <c r="L103" s="10"/>
      <c r="M103" s="10"/>
      <c r="N103" s="10"/>
      <c r="O103" s="10"/>
      <c r="P103" s="10"/>
      <c r="Q103" s="10"/>
      <c r="R103" s="103"/>
      <c r="S103" s="102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ht="1.1499999999999999" customHeight="1" x14ac:dyDescent="0.45">
      <c r="A104" s="6"/>
      <c r="B104" s="10"/>
      <c r="C104" s="17"/>
      <c r="D104" s="17"/>
      <c r="E104" s="10"/>
      <c r="F104" s="10"/>
      <c r="G104" s="90"/>
      <c r="H104" s="7"/>
      <c r="I104" s="7"/>
      <c r="J104" s="10"/>
      <c r="K104" s="10"/>
      <c r="L104" s="10"/>
      <c r="M104" s="10"/>
      <c r="N104" s="10"/>
      <c r="O104" s="10"/>
      <c r="P104" s="10"/>
      <c r="Q104" s="10"/>
      <c r="R104" s="103"/>
      <c r="S104" s="102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ht="12" customHeight="1" x14ac:dyDescent="0.45">
      <c r="A105" s="7"/>
      <c r="B105" s="17"/>
      <c r="C105" s="17"/>
      <c r="D105" s="17"/>
      <c r="E105" s="25"/>
      <c r="F105" s="25"/>
      <c r="G105" s="8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ht="8.25" customHeight="1" x14ac:dyDescent="0.45">
      <c r="A106" s="7"/>
      <c r="B106" s="17"/>
      <c r="C106" s="17"/>
      <c r="D106" s="17"/>
      <c r="E106" s="25"/>
      <c r="F106" s="25"/>
      <c r="G106" s="87"/>
      <c r="H106" s="7"/>
      <c r="I106" s="7"/>
      <c r="J106" s="366"/>
      <c r="K106" s="7"/>
      <c r="L106" s="7"/>
      <c r="M106" s="7"/>
      <c r="N106" s="7"/>
      <c r="O106" s="7"/>
      <c r="P106" s="7"/>
      <c r="Q106" s="7"/>
      <c r="R106" s="7"/>
      <c r="S106" s="7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ht="14.25" customHeight="1" x14ac:dyDescent="0.45">
      <c r="A107" s="7"/>
      <c r="B107" s="17"/>
      <c r="C107" s="17"/>
      <c r="D107" s="17"/>
      <c r="E107" s="25"/>
      <c r="F107" s="25"/>
      <c r="G107" s="87"/>
      <c r="H107" s="7"/>
      <c r="I107" s="7"/>
      <c r="J107" s="370"/>
      <c r="K107" s="7"/>
      <c r="L107" s="7"/>
      <c r="M107" s="7"/>
      <c r="N107" s="7"/>
      <c r="O107" s="7"/>
      <c r="P107" s="7"/>
      <c r="Q107" s="7"/>
      <c r="R107" s="7"/>
      <c r="S107" s="7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ht="15" customHeight="1" x14ac:dyDescent="0.45">
      <c r="A108" s="7"/>
      <c r="B108" s="17"/>
      <c r="C108" s="17"/>
      <c r="D108" s="17"/>
      <c r="E108" s="25"/>
      <c r="F108" s="25"/>
      <c r="G108" s="87"/>
      <c r="H108" s="7"/>
      <c r="I108" s="7"/>
      <c r="J108" s="366" t="s">
        <v>234</v>
      </c>
      <c r="K108" s="7"/>
      <c r="L108" s="7"/>
      <c r="M108" s="7"/>
      <c r="N108" s="7"/>
      <c r="O108" s="7"/>
      <c r="P108" s="7"/>
      <c r="Q108" s="7"/>
      <c r="R108" s="7"/>
      <c r="S108" s="7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ht="14.25" customHeight="1" x14ac:dyDescent="0.45">
      <c r="A109" s="7"/>
      <c r="B109" s="17"/>
      <c r="C109" s="17"/>
      <c r="D109" s="17"/>
      <c r="E109" s="25"/>
      <c r="F109" s="25"/>
      <c r="G109" s="8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ht="18" customHeight="1" x14ac:dyDescent="0.45">
      <c r="A110" s="7"/>
      <c r="B110" s="17"/>
      <c r="C110" s="17"/>
      <c r="D110" s="17"/>
      <c r="E110" s="25"/>
      <c r="F110" s="25"/>
      <c r="G110" s="8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120"/>
      <c r="U110" s="237"/>
      <c r="V110" s="237"/>
      <c r="W110" s="237"/>
      <c r="X110" s="175"/>
      <c r="Y110" s="175"/>
      <c r="Z110" s="238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2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ht="14.25" customHeight="1" x14ac:dyDescent="0.45">
      <c r="A111" s="7"/>
      <c r="B111" s="17"/>
      <c r="C111" s="17"/>
      <c r="D111" s="17"/>
      <c r="E111" s="25"/>
      <c r="F111" s="25"/>
      <c r="G111" s="8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ht="18.75" customHeight="1" x14ac:dyDescent="0.45">
      <c r="A112" s="44" t="s">
        <v>240</v>
      </c>
      <c r="B112" s="45"/>
      <c r="C112" s="44" t="s">
        <v>524</v>
      </c>
      <c r="D112" s="10"/>
      <c r="E112" s="10"/>
      <c r="F112" s="10"/>
      <c r="G112" s="90"/>
      <c r="H112" s="10"/>
      <c r="I112" s="10"/>
      <c r="J112" s="10"/>
      <c r="K112" s="10"/>
      <c r="L112" s="10"/>
      <c r="M112" s="10"/>
      <c r="N112" s="10"/>
      <c r="O112" s="7"/>
      <c r="P112" s="7"/>
      <c r="Q112" s="10"/>
      <c r="R112" s="10"/>
      <c r="S112" s="10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ht="15.75" customHeight="1" x14ac:dyDescent="0.45">
      <c r="A113" s="44"/>
      <c r="B113" s="45"/>
      <c r="C113" s="44"/>
      <c r="D113" s="10"/>
      <c r="E113" s="10"/>
      <c r="F113" s="10"/>
      <c r="G113" s="90"/>
      <c r="H113" s="10"/>
      <c r="I113" s="10"/>
      <c r="J113" s="10"/>
      <c r="K113" s="10"/>
      <c r="L113" s="10"/>
      <c r="M113" s="10"/>
      <c r="N113" s="10"/>
      <c r="O113" s="7"/>
      <c r="P113" s="7"/>
      <c r="Q113" s="10"/>
      <c r="R113" s="10"/>
      <c r="S113" s="10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ht="15.75" customHeight="1" x14ac:dyDescent="0.45">
      <c r="A114" s="6"/>
      <c r="B114" s="10"/>
      <c r="C114" s="10"/>
      <c r="D114" s="10"/>
      <c r="E114" s="10"/>
      <c r="F114" s="10"/>
      <c r="G114" s="90"/>
      <c r="H114" s="10"/>
      <c r="I114" s="10"/>
      <c r="J114" s="10"/>
      <c r="K114" s="10"/>
      <c r="L114" s="10"/>
      <c r="M114" s="10"/>
      <c r="N114" s="10"/>
      <c r="O114" s="7"/>
      <c r="P114" s="7"/>
      <c r="Q114" s="10"/>
      <c r="R114" s="10"/>
      <c r="S114" s="10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ht="15.75" customHeight="1" x14ac:dyDescent="0.45">
      <c r="A115" s="91" t="s">
        <v>160</v>
      </c>
      <c r="B115" s="7"/>
      <c r="C115" s="7"/>
      <c r="D115" s="7"/>
      <c r="E115" s="17"/>
      <c r="F115" s="17"/>
      <c r="G115" s="89"/>
      <c r="H115" s="7"/>
      <c r="I115" s="7"/>
      <c r="J115" s="7" t="s">
        <v>218</v>
      </c>
      <c r="K115" s="7"/>
      <c r="L115" s="7"/>
      <c r="M115" s="7"/>
      <c r="N115" s="7"/>
      <c r="O115" s="91" t="s">
        <v>515</v>
      </c>
      <c r="Q115" s="7"/>
      <c r="R115" s="7"/>
      <c r="S115" s="7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ht="15.75" customHeight="1" x14ac:dyDescent="0.45">
      <c r="A116" s="7"/>
      <c r="B116" s="7"/>
      <c r="C116" s="7"/>
      <c r="D116" s="7"/>
      <c r="E116" s="17"/>
      <c r="F116" s="17"/>
      <c r="G116" s="89"/>
      <c r="H116" s="25"/>
      <c r="I116" s="7"/>
      <c r="J116" s="25"/>
      <c r="K116" s="25"/>
      <c r="L116" s="25"/>
      <c r="M116" s="7"/>
      <c r="N116" s="7"/>
      <c r="O116" s="7"/>
      <c r="P116" s="7"/>
      <c r="Q116" s="7"/>
      <c r="R116" s="7"/>
      <c r="S116" s="7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ht="15.75" customHeight="1" x14ac:dyDescent="0.2">
      <c r="A117" s="7"/>
      <c r="B117" s="23"/>
      <c r="C117" s="11"/>
      <c r="D117" s="235" t="s">
        <v>3</v>
      </c>
      <c r="E117" s="245" t="s">
        <v>4</v>
      </c>
      <c r="F117" s="245" t="s">
        <v>158</v>
      </c>
      <c r="G117" s="492" t="s">
        <v>0</v>
      </c>
      <c r="H117" s="7"/>
      <c r="I117" s="7"/>
      <c r="J117" s="65" t="s">
        <v>45</v>
      </c>
      <c r="K117" s="66"/>
      <c r="L117" s="16" t="s">
        <v>123</v>
      </c>
      <c r="M117" s="15" t="s">
        <v>158</v>
      </c>
      <c r="N117" s="15" t="s">
        <v>0</v>
      </c>
      <c r="O117" s="7"/>
      <c r="P117" s="738" t="s">
        <v>123</v>
      </c>
      <c r="Q117" s="15" t="s">
        <v>158</v>
      </c>
      <c r="R117" s="15" t="s">
        <v>0</v>
      </c>
      <c r="S117" s="7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ht="15.75" customHeight="1" x14ac:dyDescent="0.2">
      <c r="A118" s="7"/>
      <c r="B118" s="829" t="s">
        <v>161</v>
      </c>
      <c r="C118" s="830"/>
      <c r="D118" s="245">
        <v>-400</v>
      </c>
      <c r="E118" s="245">
        <v>0.43</v>
      </c>
      <c r="F118" s="197">
        <f>SUM('Pyöreät kanavat ja osat'!Q165)</f>
        <v>0</v>
      </c>
      <c r="G118" s="108">
        <f>SUM(E118*F118)</f>
        <v>0</v>
      </c>
      <c r="H118" s="7"/>
      <c r="I118" s="7"/>
      <c r="J118" s="774" t="s">
        <v>136</v>
      </c>
      <c r="K118" s="774"/>
      <c r="L118" s="501">
        <v>0.96</v>
      </c>
      <c r="M118" s="727">
        <f>SUM('Pyöreät kanavat ja osat'!Q182)</f>
        <v>0</v>
      </c>
      <c r="N118" s="728">
        <f>SUM(L118*M118)</f>
        <v>0</v>
      </c>
      <c r="O118" s="7"/>
      <c r="P118" s="736">
        <v>0.1</v>
      </c>
      <c r="Q118" s="197">
        <f>SUM('Pyöreät kanavat ja osat'!Q158)</f>
        <v>0</v>
      </c>
      <c r="R118" s="736">
        <f>SUM(P118*Q118)</f>
        <v>0</v>
      </c>
      <c r="S118" s="7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ht="15.75" customHeight="1" x14ac:dyDescent="0.2">
      <c r="A119" s="7"/>
      <c r="B119" s="798" t="s">
        <v>162</v>
      </c>
      <c r="C119" s="799"/>
      <c r="D119" s="245">
        <v>-400</v>
      </c>
      <c r="E119" s="245">
        <v>0.86</v>
      </c>
      <c r="F119" s="197">
        <f>SUM('Pyöreät kanavat ja osat'!Q168)</f>
        <v>0</v>
      </c>
      <c r="G119" s="108">
        <f t="shared" ref="G119:G121" si="1">SUM(E119*F119)</f>
        <v>0</v>
      </c>
      <c r="H119" s="7"/>
      <c r="I119" s="7"/>
      <c r="J119" s="774" t="s">
        <v>135</v>
      </c>
      <c r="K119" s="774"/>
      <c r="L119" s="501">
        <v>1.0900000000000001</v>
      </c>
      <c r="M119" s="727">
        <f>SUM('Pyöreät kanavat ja osat'!Q183)</f>
        <v>0</v>
      </c>
      <c r="N119" s="728">
        <f t="shared" ref="N119:N127" si="2">SUM(L119*M119)</f>
        <v>0</v>
      </c>
      <c r="O119" s="7"/>
      <c r="P119" s="7"/>
      <c r="Q119" s="7"/>
      <c r="R119" s="7"/>
      <c r="S119" s="7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ht="15.75" customHeight="1" x14ac:dyDescent="0.2">
      <c r="A120" s="7"/>
      <c r="B120" s="831" t="s">
        <v>161</v>
      </c>
      <c r="C120" s="832"/>
      <c r="D120" s="245" t="s">
        <v>55</v>
      </c>
      <c r="E120" s="245">
        <v>0.55000000000000004</v>
      </c>
      <c r="F120" s="197">
        <f>SUM('Pyöreät kanavat ja osat'!Q166)</f>
        <v>0</v>
      </c>
      <c r="G120" s="108">
        <f t="shared" si="1"/>
        <v>0</v>
      </c>
      <c r="H120" s="7"/>
      <c r="I120" s="7"/>
      <c r="J120" s="774" t="s">
        <v>124</v>
      </c>
      <c r="K120" s="774"/>
      <c r="L120" s="501">
        <v>1.45</v>
      </c>
      <c r="M120" s="727">
        <f>SUM('Pyöreät kanavat ja osat'!Q184)</f>
        <v>0</v>
      </c>
      <c r="N120" s="728">
        <f t="shared" si="2"/>
        <v>0</v>
      </c>
      <c r="O120" s="7"/>
      <c r="P120" s="7"/>
      <c r="Q120" s="7"/>
      <c r="R120" s="7"/>
      <c r="S120" s="7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ht="15.75" customHeight="1" x14ac:dyDescent="0.2">
      <c r="A121" s="7"/>
      <c r="B121" s="829" t="s">
        <v>162</v>
      </c>
      <c r="C121" s="830"/>
      <c r="D121" s="245" t="s">
        <v>55</v>
      </c>
      <c r="E121" s="245">
        <v>1.01</v>
      </c>
      <c r="F121" s="197">
        <f>SUM('Pyöreät kanavat ja osat'!Q169)</f>
        <v>0</v>
      </c>
      <c r="G121" s="108">
        <f t="shared" si="1"/>
        <v>0</v>
      </c>
      <c r="H121" s="7"/>
      <c r="I121" s="7"/>
      <c r="J121" s="774" t="s">
        <v>125</v>
      </c>
      <c r="K121" s="774"/>
      <c r="L121" s="501">
        <v>1.72</v>
      </c>
      <c r="M121" s="727">
        <f>SUM('Pyöreät kanavat ja osat'!Q185)</f>
        <v>0</v>
      </c>
      <c r="N121" s="728">
        <f t="shared" si="2"/>
        <v>0</v>
      </c>
      <c r="O121" s="7"/>
      <c r="P121" s="7"/>
      <c r="Q121" s="25"/>
      <c r="R121" s="17"/>
      <c r="S121" s="17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ht="16.5" customHeight="1" x14ac:dyDescent="0.45">
      <c r="A122" s="7"/>
      <c r="B122" s="7"/>
      <c r="C122" s="7"/>
      <c r="D122" s="7"/>
      <c r="E122" s="7"/>
      <c r="F122" s="187"/>
      <c r="G122" s="188"/>
      <c r="H122" s="25"/>
      <c r="I122" s="7"/>
      <c r="J122" s="774" t="s">
        <v>126</v>
      </c>
      <c r="K122" s="774"/>
      <c r="L122" s="501">
        <v>2.06</v>
      </c>
      <c r="M122" s="727">
        <f>SUM('Pyöreät kanavat ja osat'!Q186)</f>
        <v>0</v>
      </c>
      <c r="N122" s="728">
        <f t="shared" si="2"/>
        <v>0</v>
      </c>
      <c r="O122" s="7"/>
      <c r="P122" s="7"/>
      <c r="Q122" s="25"/>
      <c r="R122" s="17"/>
      <c r="S122" s="17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ht="14.25" customHeight="1" thickBot="1" x14ac:dyDescent="0.25">
      <c r="A123" s="7"/>
      <c r="B123" s="7"/>
      <c r="C123" s="7"/>
      <c r="D123" s="7"/>
      <c r="E123" s="25"/>
      <c r="F123" s="189" t="s">
        <v>0</v>
      </c>
      <c r="G123" s="754">
        <f>SUM(G118:G121)</f>
        <v>0</v>
      </c>
      <c r="H123" s="25"/>
      <c r="I123" s="7"/>
      <c r="J123" s="774" t="s">
        <v>127</v>
      </c>
      <c r="K123" s="774"/>
      <c r="L123" s="729">
        <v>2.4</v>
      </c>
      <c r="M123" s="727">
        <f>SUM('Pyöreät kanavat ja osat'!Q187)</f>
        <v>0</v>
      </c>
      <c r="N123" s="728">
        <f t="shared" si="2"/>
        <v>0</v>
      </c>
      <c r="O123" s="7"/>
      <c r="P123" s="7"/>
      <c r="Q123" s="7"/>
      <c r="R123" s="7"/>
      <c r="S123" s="7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ht="15.75" customHeight="1" x14ac:dyDescent="0.45">
      <c r="A124" s="7" t="s">
        <v>67</v>
      </c>
      <c r="B124" s="7"/>
      <c r="C124" s="7"/>
      <c r="D124" s="7"/>
      <c r="E124" s="17"/>
      <c r="F124" s="17"/>
      <c r="G124" s="89"/>
      <c r="H124" s="7"/>
      <c r="I124" s="7"/>
      <c r="J124" s="774" t="s">
        <v>128</v>
      </c>
      <c r="K124" s="774"/>
      <c r="L124" s="501">
        <v>2.72</v>
      </c>
      <c r="M124" s="727">
        <f>SUM('Pyöreät kanavat ja osat'!Q188)</f>
        <v>0</v>
      </c>
      <c r="N124" s="728">
        <f t="shared" si="2"/>
        <v>0</v>
      </c>
      <c r="O124" s="7"/>
      <c r="P124" s="7"/>
      <c r="Q124" s="7"/>
      <c r="R124" s="7"/>
      <c r="S124" s="7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ht="15.75" customHeight="1" x14ac:dyDescent="0.45">
      <c r="A125" s="7"/>
      <c r="B125" s="6"/>
      <c r="C125" s="17"/>
      <c r="D125" s="17"/>
      <c r="E125" s="25"/>
      <c r="F125" s="25"/>
      <c r="G125" s="87"/>
      <c r="H125" s="7"/>
      <c r="I125" s="7"/>
      <c r="J125" s="773" t="s">
        <v>513</v>
      </c>
      <c r="K125" s="774"/>
      <c r="L125" s="501">
        <v>3.25</v>
      </c>
      <c r="M125" s="727">
        <f>SUM('Pyöreät kanavat ja osat'!Q189)</f>
        <v>0</v>
      </c>
      <c r="N125" s="728">
        <f t="shared" si="2"/>
        <v>0</v>
      </c>
      <c r="O125" s="7"/>
      <c r="P125" s="7"/>
      <c r="Q125" s="7"/>
      <c r="R125" s="7"/>
      <c r="S125" s="7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ht="15.75" customHeight="1" x14ac:dyDescent="0.45">
      <c r="A126" s="7"/>
      <c r="B126" s="17"/>
      <c r="C126" s="7" t="s">
        <v>428</v>
      </c>
      <c r="D126" s="6"/>
      <c r="E126" s="17"/>
      <c r="F126" s="17"/>
      <c r="G126" s="89"/>
      <c r="H126" s="7"/>
      <c r="I126" s="7"/>
      <c r="J126" s="774" t="s">
        <v>129</v>
      </c>
      <c r="K126" s="774"/>
      <c r="L126" s="501">
        <v>4.05</v>
      </c>
      <c r="M126" s="727">
        <f>SUM('Pyöreät kanavat ja osat'!Q189)</f>
        <v>0</v>
      </c>
      <c r="N126" s="728">
        <f t="shared" si="2"/>
        <v>0</v>
      </c>
      <c r="O126" s="7"/>
      <c r="P126" s="7"/>
      <c r="Q126" s="7"/>
      <c r="R126" s="7"/>
      <c r="S126" s="7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ht="15.75" customHeight="1" x14ac:dyDescent="0.45">
      <c r="A127" s="7"/>
      <c r="B127" s="17"/>
      <c r="C127" s="17"/>
      <c r="D127" s="17"/>
      <c r="E127" s="25"/>
      <c r="F127" s="17"/>
      <c r="G127" s="89"/>
      <c r="H127" s="7"/>
      <c r="I127" s="7"/>
      <c r="J127" s="774" t="s">
        <v>130</v>
      </c>
      <c r="K127" s="774"/>
      <c r="L127" s="729">
        <v>4.5</v>
      </c>
      <c r="M127" s="727">
        <f>SUM('Pyöreät kanavat ja osat'!Q191)</f>
        <v>0</v>
      </c>
      <c r="N127" s="728">
        <f t="shared" si="2"/>
        <v>0</v>
      </c>
      <c r="O127" s="7"/>
      <c r="P127" s="7"/>
      <c r="Q127" s="25"/>
      <c r="R127" s="25"/>
      <c r="S127" s="25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ht="15.75" customHeight="1" x14ac:dyDescent="0.45">
      <c r="A128" s="7"/>
      <c r="B128" s="17"/>
      <c r="C128" s="17"/>
      <c r="D128" s="501" t="s">
        <v>54</v>
      </c>
      <c r="E128" s="480">
        <v>1</v>
      </c>
      <c r="F128" s="25"/>
      <c r="G128" s="87"/>
      <c r="H128" s="7"/>
      <c r="I128" s="7"/>
      <c r="J128" s="7"/>
      <c r="K128" s="7"/>
      <c r="L128" s="7"/>
      <c r="M128" s="190"/>
      <c r="N128" s="190"/>
      <c r="O128" s="25"/>
      <c r="P128" s="7"/>
      <c r="Q128" s="7"/>
      <c r="R128" s="25"/>
      <c r="S128" s="25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ht="15.75" customHeight="1" thickBot="1" x14ac:dyDescent="0.25">
      <c r="A129" s="7"/>
      <c r="B129" s="17"/>
      <c r="C129" s="17"/>
      <c r="D129" s="65" t="s">
        <v>45</v>
      </c>
      <c r="E129" s="15" t="s">
        <v>0</v>
      </c>
      <c r="F129" s="15" t="s">
        <v>158</v>
      </c>
      <c r="G129" s="492" t="s">
        <v>0</v>
      </c>
      <c r="H129" s="7"/>
      <c r="I129" s="7"/>
      <c r="J129" s="7"/>
      <c r="K129" s="7"/>
      <c r="L129" s="7"/>
      <c r="M129" s="189" t="s">
        <v>0</v>
      </c>
      <c r="N129" s="754">
        <f>SUM(N118:N127)</f>
        <v>0</v>
      </c>
      <c r="O129" s="7"/>
      <c r="P129" s="7"/>
      <c r="Q129" s="7"/>
      <c r="R129" s="25"/>
      <c r="S129" s="25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ht="15.75" customHeight="1" x14ac:dyDescent="0.2">
      <c r="A130" s="7"/>
      <c r="B130" s="17"/>
      <c r="C130" s="17"/>
      <c r="D130" s="65">
        <v>-125</v>
      </c>
      <c r="E130" s="15">
        <v>0.38</v>
      </c>
      <c r="F130" s="197">
        <f>SUM('Pyöreät kanavat ja osat'!Q174)</f>
        <v>0</v>
      </c>
      <c r="G130" s="108">
        <f>SUM(E130*F130)</f>
        <v>0</v>
      </c>
      <c r="H130" s="7"/>
      <c r="I130" s="7"/>
      <c r="O130" s="7"/>
      <c r="P130" s="7"/>
      <c r="Q130" s="7"/>
      <c r="R130" s="25"/>
      <c r="S130" s="25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ht="15.75" customHeight="1" x14ac:dyDescent="0.2">
      <c r="A131" s="7"/>
      <c r="B131" s="17"/>
      <c r="C131" s="17"/>
      <c r="D131" s="65">
        <v>-200</v>
      </c>
      <c r="E131" s="28">
        <v>0.48</v>
      </c>
      <c r="F131" s="197">
        <f>SUM('Pyöreät kanavat ja osat'!Q175)</f>
        <v>0</v>
      </c>
      <c r="G131" s="108">
        <f t="shared" ref="G131:G133" si="3">SUM(E131*F131)</f>
        <v>0</v>
      </c>
      <c r="H131" s="7"/>
      <c r="I131" s="7"/>
      <c r="O131" s="7"/>
      <c r="P131" s="7"/>
      <c r="Q131" s="7"/>
      <c r="R131" s="25"/>
      <c r="S131" s="25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ht="15.75" customHeight="1" x14ac:dyDescent="0.2">
      <c r="A132" s="7"/>
      <c r="B132" s="17"/>
      <c r="C132" s="17"/>
      <c r="D132" s="65">
        <v>250</v>
      </c>
      <c r="E132" s="28">
        <v>0.54</v>
      </c>
      <c r="F132" s="197">
        <f>SUM('Pyöreät kanavat ja osat'!Q176)</f>
        <v>0</v>
      </c>
      <c r="G132" s="108">
        <f t="shared" si="3"/>
        <v>0</v>
      </c>
      <c r="H132" s="7"/>
      <c r="I132" s="7"/>
      <c r="O132" s="7"/>
      <c r="P132" s="7"/>
      <c r="Q132" s="7"/>
      <c r="R132" s="25"/>
      <c r="S132" s="25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ht="15.75" customHeight="1" x14ac:dyDescent="0.2">
      <c r="A133" s="7"/>
      <c r="B133" s="17"/>
      <c r="C133" s="17"/>
      <c r="D133" s="65">
        <v>315</v>
      </c>
      <c r="E133" s="28">
        <v>0.61</v>
      </c>
      <c r="F133" s="197">
        <f>SUM('Pyöreät kanavat ja osat'!Q177)</f>
        <v>0</v>
      </c>
      <c r="G133" s="108">
        <f t="shared" si="3"/>
        <v>0</v>
      </c>
      <c r="H133" s="7"/>
      <c r="I133" s="7"/>
      <c r="L133" s="757"/>
      <c r="O133" s="7"/>
      <c r="P133" s="7"/>
      <c r="Q133" s="7"/>
      <c r="R133" s="25"/>
      <c r="S133" s="25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ht="18.75" customHeight="1" x14ac:dyDescent="0.45">
      <c r="A134" s="7"/>
      <c r="B134" s="7"/>
      <c r="C134" s="17"/>
      <c r="D134" s="7"/>
      <c r="E134" s="7"/>
      <c r="F134" s="190"/>
      <c r="G134" s="191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25"/>
      <c r="S134" s="25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ht="20.25" customHeight="1" thickBot="1" x14ac:dyDescent="0.25">
      <c r="A135" s="7"/>
      <c r="B135" s="7"/>
      <c r="C135" s="7"/>
      <c r="D135" s="7"/>
      <c r="E135" s="100"/>
      <c r="F135" s="189" t="s">
        <v>0</v>
      </c>
      <c r="G135" s="754">
        <f>SUM(G130:G133)</f>
        <v>0</v>
      </c>
      <c r="H135" s="68"/>
      <c r="I135" s="7"/>
      <c r="J135" s="7"/>
      <c r="K135" s="7"/>
      <c r="L135" s="7"/>
      <c r="M135" s="7"/>
      <c r="N135" s="7"/>
      <c r="O135" s="7"/>
      <c r="P135" s="7"/>
      <c r="Q135" s="7"/>
      <c r="R135" s="25"/>
      <c r="S135" s="25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ht="18.75" customHeight="1" thickBot="1" x14ac:dyDescent="0.5">
      <c r="A136" s="7"/>
      <c r="B136" s="17"/>
      <c r="C136" s="17"/>
      <c r="D136" s="17"/>
      <c r="E136" s="25"/>
      <c r="F136" s="25"/>
      <c r="G136" s="87"/>
      <c r="H136" s="7"/>
      <c r="I136" s="7"/>
      <c r="J136" s="7"/>
      <c r="K136" s="7"/>
      <c r="L136" s="7"/>
      <c r="M136" s="7"/>
      <c r="N136" s="7"/>
      <c r="O136" s="99"/>
      <c r="P136" s="100" t="s">
        <v>220</v>
      </c>
      <c r="Q136" s="100" t="s">
        <v>0</v>
      </c>
      <c r="R136" s="737">
        <f>SUM(G123+N129+G135+R118)</f>
        <v>0</v>
      </c>
      <c r="S136" s="7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ht="38.450000000000003" customHeight="1" x14ac:dyDescent="0.45">
      <c r="A137" s="7"/>
      <c r="B137" s="17"/>
      <c r="C137" s="17"/>
      <c r="D137" s="17"/>
      <c r="E137" s="25"/>
      <c r="F137" s="25"/>
      <c r="G137" s="8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91"/>
      <c r="S137" s="7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ht="1.5" hidden="1" customHeight="1" x14ac:dyDescent="0.45">
      <c r="A138" s="38"/>
      <c r="B138" s="17"/>
      <c r="C138" s="17"/>
      <c r="D138" s="17"/>
      <c r="E138" s="25"/>
      <c r="F138" s="25"/>
      <c r="G138" s="8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39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ht="3" hidden="1" customHeight="1" thickBot="1" x14ac:dyDescent="0.5">
      <c r="A139" s="7"/>
      <c r="B139" s="17"/>
      <c r="C139" s="17"/>
      <c r="D139" s="17"/>
      <c r="E139" s="25"/>
      <c r="F139" s="25"/>
      <c r="G139" s="8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120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ht="10.5" customHeight="1" x14ac:dyDescent="0.45">
      <c r="A140" s="7"/>
      <c r="B140" s="17"/>
      <c r="C140" s="17"/>
      <c r="D140" s="17"/>
      <c r="E140" s="25"/>
      <c r="F140" s="25"/>
      <c r="G140" s="8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ht="18.75" customHeight="1" x14ac:dyDescent="0.25">
      <c r="A141" s="104" t="s">
        <v>523</v>
      </c>
      <c r="B141" s="7"/>
      <c r="C141" s="104"/>
      <c r="D141" s="7"/>
      <c r="E141" s="55"/>
      <c r="F141" s="7"/>
      <c r="G141" s="7"/>
      <c r="H141" s="7"/>
      <c r="I141" s="7"/>
      <c r="J141" s="367" t="s">
        <v>234</v>
      </c>
      <c r="K141" s="7"/>
      <c r="L141" s="7"/>
      <c r="M141" s="7"/>
      <c r="N141" s="69"/>
      <c r="O141" s="7"/>
      <c r="P141" s="7"/>
      <c r="Q141" s="7"/>
      <c r="R141" s="7"/>
      <c r="S141" s="7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ht="15.75" customHeight="1" x14ac:dyDescent="0.25">
      <c r="A142" s="1"/>
      <c r="B142" s="44" t="s">
        <v>378</v>
      </c>
      <c r="C142" s="55"/>
      <c r="D142" s="7"/>
      <c r="E142" s="55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ht="4.5" customHeight="1" x14ac:dyDescent="0.2">
      <c r="A143" s="7"/>
      <c r="B143" s="7"/>
      <c r="C143" s="7"/>
      <c r="D143" s="55"/>
      <c r="E143" s="7"/>
      <c r="F143" s="55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ht="15.75" customHeight="1" x14ac:dyDescent="0.2">
      <c r="A144" s="50"/>
      <c r="B144" s="3"/>
      <c r="C144" s="3" t="s">
        <v>54</v>
      </c>
      <c r="D144" s="497" t="s">
        <v>67</v>
      </c>
      <c r="E144" s="171">
        <v>1</v>
      </c>
      <c r="F144" s="498"/>
      <c r="G144" s="173" t="s">
        <v>67</v>
      </c>
      <c r="H144" s="171">
        <v>2</v>
      </c>
      <c r="I144" s="172"/>
      <c r="J144" s="497" t="s">
        <v>67</v>
      </c>
      <c r="K144" s="171">
        <v>3</v>
      </c>
      <c r="L144" s="172"/>
      <c r="M144" s="171" t="s">
        <v>67</v>
      </c>
      <c r="N144" s="171">
        <v>4</v>
      </c>
      <c r="O144" s="172"/>
      <c r="P144" s="794" t="s">
        <v>515</v>
      </c>
      <c r="Q144" s="794"/>
      <c r="R144" s="794"/>
      <c r="S144" s="7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ht="15.75" customHeight="1" x14ac:dyDescent="0.2">
      <c r="A145" s="50"/>
      <c r="B145" s="22" t="s">
        <v>230</v>
      </c>
      <c r="C145" s="22"/>
      <c r="D145" s="499" t="s">
        <v>166</v>
      </c>
      <c r="E145" s="21" t="s">
        <v>152</v>
      </c>
      <c r="F145" s="42" t="s">
        <v>0</v>
      </c>
      <c r="G145" s="57" t="s">
        <v>166</v>
      </c>
      <c r="H145" s="54" t="s">
        <v>152</v>
      </c>
      <c r="I145" s="67" t="s">
        <v>0</v>
      </c>
      <c r="J145" s="499"/>
      <c r="K145" s="21" t="s">
        <v>158</v>
      </c>
      <c r="L145" s="42" t="s">
        <v>0</v>
      </c>
      <c r="M145" s="21"/>
      <c r="N145" s="21" t="s">
        <v>158</v>
      </c>
      <c r="O145" s="42" t="s">
        <v>0</v>
      </c>
      <c r="P145" s="794"/>
      <c r="Q145" s="794"/>
      <c r="R145" s="794"/>
      <c r="S145" s="7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ht="15.75" customHeight="1" x14ac:dyDescent="0.2">
      <c r="A146" s="50"/>
      <c r="B146" s="2" t="s">
        <v>231</v>
      </c>
      <c r="C146" s="30" t="s">
        <v>167</v>
      </c>
      <c r="D146" s="48">
        <v>0.45</v>
      </c>
      <c r="E146" s="344">
        <f>SUM(Suorakaidekanavat!Q5)</f>
        <v>0</v>
      </c>
      <c r="F146" s="108">
        <f>SUM(E146*0.45)</f>
        <v>0</v>
      </c>
      <c r="G146" s="28">
        <v>1.1000000000000001</v>
      </c>
      <c r="H146" s="344">
        <f>SUM(Suorakaidekanavat!Q33)</f>
        <v>0</v>
      </c>
      <c r="I146" s="108">
        <f>SUM(H146*1.1)</f>
        <v>0</v>
      </c>
      <c r="J146" s="48">
        <v>0.5</v>
      </c>
      <c r="K146" s="197">
        <f>SUM(Suorakaidekanavat!Q61)</f>
        <v>0</v>
      </c>
      <c r="L146" s="108">
        <f>SUM(K146*0.5)</f>
        <v>0</v>
      </c>
      <c r="M146" s="500">
        <v>1</v>
      </c>
      <c r="N146" s="197">
        <f>SUM(Suorakaidekanavat!Q89)</f>
        <v>0</v>
      </c>
      <c r="O146" s="108">
        <f>SUM(N146*1)</f>
        <v>0</v>
      </c>
      <c r="P146" s="738" t="s">
        <v>526</v>
      </c>
      <c r="Q146" s="15" t="s">
        <v>158</v>
      </c>
      <c r="R146" s="15" t="s">
        <v>0</v>
      </c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ht="15.75" customHeight="1" x14ac:dyDescent="0.2">
      <c r="A147" s="50"/>
      <c r="B147" s="25"/>
      <c r="C147" s="25" t="s">
        <v>168</v>
      </c>
      <c r="D147" s="48">
        <v>0.54</v>
      </c>
      <c r="E147" s="344">
        <f>SUM(Suorakaidekanavat!Q6)</f>
        <v>0</v>
      </c>
      <c r="F147" s="108">
        <f>SUM(E147*0.54)</f>
        <v>0</v>
      </c>
      <c r="G147" s="15">
        <v>1.32</v>
      </c>
      <c r="H147" s="344">
        <f>SUM(Suorakaidekanavat!Q34)</f>
        <v>0</v>
      </c>
      <c r="I147" s="108">
        <f>SUM(H147*1.32)</f>
        <v>0</v>
      </c>
      <c r="J147" s="48">
        <v>0.5</v>
      </c>
      <c r="K147" s="197">
        <f>SUM(Suorakaidekanavat!Q62)</f>
        <v>0</v>
      </c>
      <c r="L147" s="108">
        <f>SUM(K147*0.5)</f>
        <v>0</v>
      </c>
      <c r="M147" s="194">
        <v>1</v>
      </c>
      <c r="N147" s="197">
        <f>SUM(Suorakaidekanavat!Q90)</f>
        <v>0</v>
      </c>
      <c r="O147" s="108">
        <f>SUM(N147*1)</f>
        <v>0</v>
      </c>
      <c r="P147" s="736">
        <v>0.1</v>
      </c>
      <c r="Q147" s="197">
        <f>SUM(Suorakaidekanavat!Q117)</f>
        <v>0</v>
      </c>
      <c r="R147" s="749">
        <f>SUM(P147*Q147)</f>
        <v>0</v>
      </c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ht="15.75" customHeight="1" x14ac:dyDescent="0.2">
      <c r="A148" s="50"/>
      <c r="B148" s="25"/>
      <c r="C148" s="25" t="s">
        <v>169</v>
      </c>
      <c r="D148" s="48">
        <v>0.63</v>
      </c>
      <c r="E148" s="344">
        <f>SUM(Suorakaidekanavat!Q7)</f>
        <v>0</v>
      </c>
      <c r="F148" s="108">
        <f>SUM(E148*0.63)</f>
        <v>0</v>
      </c>
      <c r="G148" s="28">
        <v>1.4</v>
      </c>
      <c r="H148" s="344">
        <f>SUM(Suorakaidekanavat!Q35)</f>
        <v>0</v>
      </c>
      <c r="I148" s="108">
        <f>SUM(H148*1.4)</f>
        <v>0</v>
      </c>
      <c r="J148" s="48">
        <v>0.5</v>
      </c>
      <c r="K148" s="197">
        <f>SUM(Suorakaidekanavat!Q63)</f>
        <v>0</v>
      </c>
      <c r="L148" s="108">
        <f>SUM(K148*0.5)</f>
        <v>0</v>
      </c>
      <c r="M148" s="194">
        <v>1</v>
      </c>
      <c r="N148" s="197">
        <f>SUM(Suorakaidekanavat!Q91)</f>
        <v>0</v>
      </c>
      <c r="O148" s="108">
        <f>SUM(N148*1)</f>
        <v>0</v>
      </c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ht="15.75" customHeight="1" x14ac:dyDescent="0.2">
      <c r="A149" s="50"/>
      <c r="B149" s="25"/>
      <c r="C149" s="25" t="s">
        <v>170</v>
      </c>
      <c r="D149" s="48">
        <v>0.72</v>
      </c>
      <c r="E149" s="344">
        <f>SUM(Suorakaidekanavat!Q8)</f>
        <v>0</v>
      </c>
      <c r="F149" s="108">
        <f>SUM(E149*0.72)</f>
        <v>0</v>
      </c>
      <c r="G149" s="28">
        <v>1.8</v>
      </c>
      <c r="H149" s="344">
        <f>SUM(Suorakaidekanavat!Q36)</f>
        <v>0</v>
      </c>
      <c r="I149" s="108">
        <f>SUM(H149*1.8)</f>
        <v>0</v>
      </c>
      <c r="J149" s="48">
        <v>0.5</v>
      </c>
      <c r="K149" s="197">
        <f>SUM(Suorakaidekanavat!Q64)</f>
        <v>0</v>
      </c>
      <c r="L149" s="108">
        <f>SUM(K149*0.5)</f>
        <v>0</v>
      </c>
      <c r="M149" s="194">
        <v>1</v>
      </c>
      <c r="N149" s="197">
        <f>SUM(Suorakaidekanavat!Q92)</f>
        <v>0</v>
      </c>
      <c r="O149" s="108">
        <f>SUM(N149*1)</f>
        <v>0</v>
      </c>
      <c r="P149" s="7"/>
      <c r="Q149" s="7"/>
      <c r="R149" s="7"/>
      <c r="S149" s="7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ht="15.75" customHeight="1" x14ac:dyDescent="0.2">
      <c r="A150" s="50"/>
      <c r="B150" s="21"/>
      <c r="C150" s="21" t="s">
        <v>171</v>
      </c>
      <c r="D150" s="48">
        <v>0.81</v>
      </c>
      <c r="E150" s="344">
        <f>SUM(Suorakaidekanavat!Q9)</f>
        <v>0</v>
      </c>
      <c r="F150" s="108">
        <f>SUM(E150*0.81)</f>
        <v>0</v>
      </c>
      <c r="G150" s="28">
        <v>2.2000000000000002</v>
      </c>
      <c r="H150" s="344">
        <f>SUM(Suorakaidekanavat!Q37)</f>
        <v>0</v>
      </c>
      <c r="I150" s="108">
        <f>SUM(H150*2.2)</f>
        <v>0</v>
      </c>
      <c r="J150" s="48">
        <v>0.5</v>
      </c>
      <c r="K150" s="197">
        <f>SUM(Suorakaidekanavat!Q65)</f>
        <v>0</v>
      </c>
      <c r="L150" s="108">
        <f>SUM(K150*0.5)</f>
        <v>0</v>
      </c>
      <c r="M150" s="194">
        <v>1</v>
      </c>
      <c r="N150" s="197">
        <f>SUM(Suorakaidekanavat!Q93)</f>
        <v>0</v>
      </c>
      <c r="O150" s="108">
        <f>SUM(N150*1)</f>
        <v>0</v>
      </c>
      <c r="P150" s="7"/>
      <c r="Q150" s="7"/>
      <c r="R150" s="7"/>
      <c r="S150" s="7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ht="15.75" customHeight="1" x14ac:dyDescent="0.2">
      <c r="A151" s="50"/>
      <c r="B151" s="2" t="s">
        <v>232</v>
      </c>
      <c r="C151" s="30" t="s">
        <v>172</v>
      </c>
      <c r="D151" s="48">
        <v>0.9</v>
      </c>
      <c r="E151" s="344">
        <f>SUM(Suorakaidekanavat!Q10)</f>
        <v>0</v>
      </c>
      <c r="F151" s="108">
        <f>SUM(E151*0.9)</f>
        <v>0</v>
      </c>
      <c r="G151" s="28">
        <v>2.2000000000000002</v>
      </c>
      <c r="H151" s="344">
        <f>SUM(Suorakaidekanavat!Q38)</f>
        <v>0</v>
      </c>
      <c r="I151" s="108">
        <f>SUM(H151*2.2)</f>
        <v>0</v>
      </c>
      <c r="J151" s="48">
        <v>0.75</v>
      </c>
      <c r="K151" s="197">
        <f>SUM(Suorakaidekanavat!Q66)</f>
        <v>0</v>
      </c>
      <c r="L151" s="108">
        <f t="shared" ref="L151:L156" si="4">SUM(K151*0.75)</f>
        <v>0</v>
      </c>
      <c r="M151" s="15">
        <v>1.5</v>
      </c>
      <c r="N151" s="197">
        <f>SUM(Suorakaidekanavat!Q94)</f>
        <v>0</v>
      </c>
      <c r="O151" s="108">
        <f t="shared" ref="O151:O156" si="5">SUM(N151*1.5)</f>
        <v>0</v>
      </c>
      <c r="P151" s="7"/>
      <c r="Q151" s="7"/>
      <c r="R151" s="7"/>
      <c r="S151" s="7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ht="15.75" customHeight="1" x14ac:dyDescent="0.2">
      <c r="A152" s="50"/>
      <c r="B152" s="25"/>
      <c r="C152" s="25" t="s">
        <v>173</v>
      </c>
      <c r="D152" s="48">
        <v>1.08</v>
      </c>
      <c r="E152" s="344">
        <f>SUM(Suorakaidekanavat!Q11)</f>
        <v>0</v>
      </c>
      <c r="F152" s="108">
        <f>SUM(E152*1.08)</f>
        <v>0</v>
      </c>
      <c r="G152" s="15">
        <v>2.64</v>
      </c>
      <c r="H152" s="344">
        <f>SUM(Suorakaidekanavat!Q39)</f>
        <v>0</v>
      </c>
      <c r="I152" s="108">
        <f>SUM(H152*2.64)</f>
        <v>0</v>
      </c>
      <c r="J152" s="48">
        <v>0.75</v>
      </c>
      <c r="K152" s="197">
        <f>SUM(Suorakaidekanavat!Q67)</f>
        <v>0</v>
      </c>
      <c r="L152" s="108">
        <f t="shared" si="4"/>
        <v>0</v>
      </c>
      <c r="M152" s="15">
        <v>1.5</v>
      </c>
      <c r="N152" s="197">
        <f>SUM(Suorakaidekanavat!Q95)</f>
        <v>0</v>
      </c>
      <c r="O152" s="108">
        <f t="shared" si="5"/>
        <v>0</v>
      </c>
      <c r="P152" s="7"/>
      <c r="Q152" s="7"/>
      <c r="R152" s="7"/>
      <c r="S152" s="7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ht="15.75" customHeight="1" x14ac:dyDescent="0.2">
      <c r="A153" s="50"/>
      <c r="B153" s="25"/>
      <c r="C153" s="25" t="s">
        <v>174</v>
      </c>
      <c r="D153" s="48">
        <v>1.26</v>
      </c>
      <c r="E153" s="344">
        <f>SUM(Suorakaidekanavat!Q12)</f>
        <v>0</v>
      </c>
      <c r="F153" s="108">
        <f>SUM(E153*1.26)</f>
        <v>0</v>
      </c>
      <c r="G153" s="15">
        <v>3.08</v>
      </c>
      <c r="H153" s="344">
        <f>SUM(Suorakaidekanavat!Q40)</f>
        <v>0</v>
      </c>
      <c r="I153" s="108">
        <f>SUM(H153*3.08)</f>
        <v>0</v>
      </c>
      <c r="J153" s="48">
        <v>0.75</v>
      </c>
      <c r="K153" s="197">
        <f>SUM(Suorakaidekanavat!Q68)</f>
        <v>0</v>
      </c>
      <c r="L153" s="108">
        <f t="shared" si="4"/>
        <v>0</v>
      </c>
      <c r="M153" s="15">
        <v>1.5</v>
      </c>
      <c r="N153" s="197">
        <f>SUM(Suorakaidekanavat!Q96)</f>
        <v>0</v>
      </c>
      <c r="O153" s="108">
        <f t="shared" si="5"/>
        <v>0</v>
      </c>
      <c r="P153" s="7"/>
      <c r="Q153" s="7"/>
      <c r="R153" s="7"/>
      <c r="S153" s="7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ht="15.75" customHeight="1" x14ac:dyDescent="0.2">
      <c r="A154" s="50"/>
      <c r="B154" s="25"/>
      <c r="C154" s="25" t="s">
        <v>175</v>
      </c>
      <c r="D154" s="48">
        <v>1.44</v>
      </c>
      <c r="E154" s="344">
        <f>SUM(Suorakaidekanavat!Q13)</f>
        <v>0</v>
      </c>
      <c r="F154" s="108">
        <f>SUM(E154*1.44)</f>
        <v>0</v>
      </c>
      <c r="G154" s="15">
        <v>3.52</v>
      </c>
      <c r="H154" s="344">
        <f>SUM(Suorakaidekanavat!Q41)</f>
        <v>0</v>
      </c>
      <c r="I154" s="108">
        <f>SUM(H154*3.52)</f>
        <v>0</v>
      </c>
      <c r="J154" s="48">
        <v>0.75</v>
      </c>
      <c r="K154" s="197">
        <f>SUM(Suorakaidekanavat!Q69)</f>
        <v>0</v>
      </c>
      <c r="L154" s="108">
        <f t="shared" si="4"/>
        <v>0</v>
      </c>
      <c r="M154" s="15">
        <v>1.5</v>
      </c>
      <c r="N154" s="197">
        <f>SUM(Suorakaidekanavat!Q97)</f>
        <v>0</v>
      </c>
      <c r="O154" s="108">
        <f t="shared" si="5"/>
        <v>0</v>
      </c>
      <c r="P154" s="7"/>
      <c r="Q154" s="7"/>
      <c r="R154" s="7"/>
      <c r="S154" s="7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ht="15.75" customHeight="1" x14ac:dyDescent="0.2">
      <c r="A155" s="50"/>
      <c r="B155" s="25"/>
      <c r="C155" s="25" t="s">
        <v>176</v>
      </c>
      <c r="D155" s="48">
        <v>1.62</v>
      </c>
      <c r="E155" s="344">
        <f>SUM(Suorakaidekanavat!Q14)</f>
        <v>0</v>
      </c>
      <c r="F155" s="108">
        <f>SUM(E155*1.62)</f>
        <v>0</v>
      </c>
      <c r="G155" s="15">
        <v>3.96</v>
      </c>
      <c r="H155" s="344">
        <f>SUM(Suorakaidekanavat!Q42)</f>
        <v>0</v>
      </c>
      <c r="I155" s="108">
        <f>SUM(H155*3.96)</f>
        <v>0</v>
      </c>
      <c r="J155" s="48">
        <v>0.75</v>
      </c>
      <c r="K155" s="197">
        <f>SUM(Suorakaidekanavat!Q70)</f>
        <v>0</v>
      </c>
      <c r="L155" s="108">
        <f t="shared" si="4"/>
        <v>0</v>
      </c>
      <c r="M155" s="15">
        <v>1.5</v>
      </c>
      <c r="N155" s="197">
        <f>SUM(Suorakaidekanavat!Q98)</f>
        <v>0</v>
      </c>
      <c r="O155" s="108">
        <f t="shared" si="5"/>
        <v>0</v>
      </c>
      <c r="P155" s="7"/>
      <c r="Q155" s="7"/>
      <c r="R155" s="7"/>
      <c r="S155" s="7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ht="15.75" customHeight="1" x14ac:dyDescent="0.2">
      <c r="A156" s="50"/>
      <c r="B156" s="21"/>
      <c r="C156" s="21" t="s">
        <v>177</v>
      </c>
      <c r="D156" s="48">
        <v>1.71</v>
      </c>
      <c r="E156" s="344">
        <f>SUM(Suorakaidekanavat!Q15)</f>
        <v>0</v>
      </c>
      <c r="F156" s="108">
        <f>SUM(E156*1.71)</f>
        <v>0</v>
      </c>
      <c r="G156" s="15">
        <v>4.18</v>
      </c>
      <c r="H156" s="344">
        <f>SUM(Suorakaidekanavat!Q43)</f>
        <v>0</v>
      </c>
      <c r="I156" s="108">
        <f>SUM(H156*4.18)</f>
        <v>0</v>
      </c>
      <c r="J156" s="48">
        <v>0.75</v>
      </c>
      <c r="K156" s="197">
        <f>SUM(Suorakaidekanavat!Q71)</f>
        <v>0</v>
      </c>
      <c r="L156" s="108">
        <f t="shared" si="4"/>
        <v>0</v>
      </c>
      <c r="M156" s="15">
        <v>1.5</v>
      </c>
      <c r="N156" s="197">
        <f>SUM(Suorakaidekanavat!Q99)</f>
        <v>0</v>
      </c>
      <c r="O156" s="108">
        <f t="shared" si="5"/>
        <v>0</v>
      </c>
      <c r="P156" s="7"/>
      <c r="Q156" s="7"/>
      <c r="R156" s="7"/>
      <c r="S156" s="7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ht="15" customHeight="1" x14ac:dyDescent="0.2">
      <c r="A157" s="50"/>
      <c r="B157" s="2" t="s">
        <v>233</v>
      </c>
      <c r="C157" s="30" t="s">
        <v>178</v>
      </c>
      <c r="D157" s="48">
        <v>1.9</v>
      </c>
      <c r="E157" s="344">
        <f>SUM(Suorakaidekanavat!Q16)</f>
        <v>0</v>
      </c>
      <c r="F157" s="108">
        <f>SUM(E157*1.9)</f>
        <v>0</v>
      </c>
      <c r="G157" s="28">
        <v>4.4000000000000004</v>
      </c>
      <c r="H157" s="344">
        <f>SUM(Suorakaidekanavat!Q44)</f>
        <v>0</v>
      </c>
      <c r="I157" s="108">
        <f>SUM(H157*4.4)</f>
        <v>0</v>
      </c>
      <c r="J157" s="48">
        <v>1</v>
      </c>
      <c r="K157" s="197">
        <f>SUM(Suorakaidekanavat!Q72)</f>
        <v>0</v>
      </c>
      <c r="L157" s="108">
        <f t="shared" ref="L157:L163" si="6">SUM(K157*1)</f>
        <v>0</v>
      </c>
      <c r="M157" s="194">
        <v>2</v>
      </c>
      <c r="N157" s="197">
        <f>SUM(Suorakaidekanavat!Q100)</f>
        <v>0</v>
      </c>
      <c r="O157" s="108">
        <f t="shared" ref="O157:O163" si="7">SUM(N157*2)</f>
        <v>0</v>
      </c>
      <c r="P157" s="7"/>
      <c r="Q157" s="7"/>
      <c r="R157" s="7"/>
      <c r="S157" s="7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ht="15.75" customHeight="1" x14ac:dyDescent="0.2">
      <c r="A158" s="50"/>
      <c r="B158" s="25"/>
      <c r="C158" s="25" t="s">
        <v>179</v>
      </c>
      <c r="D158" s="48">
        <v>1.98</v>
      </c>
      <c r="E158" s="344">
        <f>SUM(Suorakaidekanavat!Q17)</f>
        <v>0</v>
      </c>
      <c r="F158" s="108">
        <f>SUM(E158*1.98)</f>
        <v>0</v>
      </c>
      <c r="G158" s="15">
        <v>4.84</v>
      </c>
      <c r="H158" s="344">
        <f>SUM(Suorakaidekanavat!Q45)</f>
        <v>0</v>
      </c>
      <c r="I158" s="108">
        <f>SUM(H158*4.84)</f>
        <v>0</v>
      </c>
      <c r="J158" s="48">
        <v>1</v>
      </c>
      <c r="K158" s="197">
        <f>SUM(Suorakaidekanavat!Q73)</f>
        <v>0</v>
      </c>
      <c r="L158" s="108">
        <f t="shared" si="6"/>
        <v>0</v>
      </c>
      <c r="M158" s="194">
        <v>2</v>
      </c>
      <c r="N158" s="197">
        <f>SUM(Suorakaidekanavat!Q101)</f>
        <v>0</v>
      </c>
      <c r="O158" s="108">
        <f t="shared" si="7"/>
        <v>0</v>
      </c>
      <c r="P158" s="7"/>
      <c r="Q158" s="7"/>
      <c r="R158" s="7"/>
      <c r="S158" s="7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ht="15.75" customHeight="1" x14ac:dyDescent="0.2">
      <c r="A159" s="50"/>
      <c r="B159" s="25"/>
      <c r="C159" s="25" t="s">
        <v>180</v>
      </c>
      <c r="D159" s="48">
        <v>2.16</v>
      </c>
      <c r="E159" s="344">
        <f>SUM(Suorakaidekanavat!Q18)</f>
        <v>0</v>
      </c>
      <c r="F159" s="108">
        <f>SUM(E159*2.16)</f>
        <v>0</v>
      </c>
      <c r="G159" s="15">
        <v>5.28</v>
      </c>
      <c r="H159" s="344">
        <f>SUM(Suorakaidekanavat!Q46)</f>
        <v>0</v>
      </c>
      <c r="I159" s="108">
        <f>SUM(H159*5.28)</f>
        <v>0</v>
      </c>
      <c r="J159" s="48">
        <v>1</v>
      </c>
      <c r="K159" s="197">
        <f>SUM(Suorakaidekanavat!Q74)</f>
        <v>0</v>
      </c>
      <c r="L159" s="108">
        <f t="shared" si="6"/>
        <v>0</v>
      </c>
      <c r="M159" s="194">
        <v>2</v>
      </c>
      <c r="N159" s="197">
        <f>SUM(Suorakaidekanavat!Q102)</f>
        <v>0</v>
      </c>
      <c r="O159" s="108">
        <f t="shared" si="7"/>
        <v>0</v>
      </c>
      <c r="P159" s="7"/>
      <c r="Q159" s="7"/>
      <c r="R159" s="7"/>
      <c r="S159" s="7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ht="15.75" customHeight="1" x14ac:dyDescent="0.2">
      <c r="A160" s="50"/>
      <c r="B160" s="25"/>
      <c r="C160" s="25" t="s">
        <v>181</v>
      </c>
      <c r="D160" s="48">
        <v>2.25</v>
      </c>
      <c r="E160" s="344">
        <f>SUM(Suorakaidekanavat!Q19)</f>
        <v>0</v>
      </c>
      <c r="F160" s="108">
        <f>SUM(E160*2.25)</f>
        <v>0</v>
      </c>
      <c r="G160" s="28">
        <v>5.5</v>
      </c>
      <c r="H160" s="344">
        <f>SUM(Suorakaidekanavat!Q47)</f>
        <v>0</v>
      </c>
      <c r="I160" s="108">
        <f>SUM(H160*5.5)</f>
        <v>0</v>
      </c>
      <c r="J160" s="48">
        <v>1</v>
      </c>
      <c r="K160" s="197">
        <f>SUM(Suorakaidekanavat!Q75)</f>
        <v>0</v>
      </c>
      <c r="L160" s="108">
        <f t="shared" si="6"/>
        <v>0</v>
      </c>
      <c r="M160" s="194">
        <v>2</v>
      </c>
      <c r="N160" s="197">
        <f>SUM(Suorakaidekanavat!Q103)</f>
        <v>0</v>
      </c>
      <c r="O160" s="108">
        <f t="shared" si="7"/>
        <v>0</v>
      </c>
      <c r="P160" s="7"/>
      <c r="Q160" s="7"/>
      <c r="R160" s="7"/>
      <c r="S160" s="7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ht="15.75" customHeight="1" x14ac:dyDescent="0.2">
      <c r="A161" s="50"/>
      <c r="B161" s="25"/>
      <c r="C161" s="25" t="s">
        <v>182</v>
      </c>
      <c r="D161" s="48">
        <v>2.4300000000000002</v>
      </c>
      <c r="E161" s="344">
        <f>SUM(Suorakaidekanavat!Q20)</f>
        <v>0</v>
      </c>
      <c r="F161" s="108">
        <f>SUM(E161*2.43)</f>
        <v>0</v>
      </c>
      <c r="G161" s="15">
        <v>5.94</v>
      </c>
      <c r="H161" s="344">
        <f>SUM(Suorakaidekanavat!Q48)</f>
        <v>0</v>
      </c>
      <c r="I161" s="108">
        <f>SUM(H161*5.94)</f>
        <v>0</v>
      </c>
      <c r="J161" s="48">
        <v>1</v>
      </c>
      <c r="K161" s="197">
        <f>SUM(Suorakaidekanavat!Q76)</f>
        <v>0</v>
      </c>
      <c r="L161" s="108">
        <f t="shared" si="6"/>
        <v>0</v>
      </c>
      <c r="M161" s="194">
        <v>2</v>
      </c>
      <c r="N161" s="197">
        <f>SUM(Suorakaidekanavat!Q104)</f>
        <v>0</v>
      </c>
      <c r="O161" s="108">
        <f t="shared" si="7"/>
        <v>0</v>
      </c>
      <c r="P161" s="7"/>
      <c r="Q161" s="7"/>
      <c r="R161" s="7"/>
      <c r="S161" s="7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ht="15.75" customHeight="1" x14ac:dyDescent="0.2">
      <c r="A162" s="50"/>
      <c r="B162" s="21"/>
      <c r="C162" s="21" t="s">
        <v>183</v>
      </c>
      <c r="D162" s="48">
        <v>2.61</v>
      </c>
      <c r="E162" s="344">
        <f>SUM(Suorakaidekanavat!Q21)</f>
        <v>0</v>
      </c>
      <c r="F162" s="108">
        <f>SUM(E162*2.61)</f>
        <v>0</v>
      </c>
      <c r="G162" s="15">
        <v>6.38</v>
      </c>
      <c r="H162" s="344">
        <f>SUM(Suorakaidekanavat!Q49)</f>
        <v>0</v>
      </c>
      <c r="I162" s="108">
        <f>SUM(H162*6.38)</f>
        <v>0</v>
      </c>
      <c r="J162" s="48">
        <v>1</v>
      </c>
      <c r="K162" s="197">
        <f>SUM(Suorakaidekanavat!Q77)</f>
        <v>0</v>
      </c>
      <c r="L162" s="108">
        <f t="shared" si="6"/>
        <v>0</v>
      </c>
      <c r="M162" s="194">
        <v>2</v>
      </c>
      <c r="N162" s="197">
        <f>SUM(Suorakaidekanavat!Q105)</f>
        <v>0</v>
      </c>
      <c r="O162" s="108">
        <f t="shared" si="7"/>
        <v>0</v>
      </c>
      <c r="P162" s="7"/>
      <c r="Q162" s="7"/>
      <c r="R162" s="7"/>
      <c r="S162" s="7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ht="15.75" customHeight="1" x14ac:dyDescent="0.2">
      <c r="A163" s="50"/>
      <c r="B163" s="30" t="s">
        <v>184</v>
      </c>
      <c r="C163" s="30" t="s">
        <v>185</v>
      </c>
      <c r="D163" s="48">
        <v>2.7</v>
      </c>
      <c r="E163" s="344">
        <f>SUM(Suorakaidekanavat!Q22)</f>
        <v>0</v>
      </c>
      <c r="F163" s="108">
        <f>SUM(E163*2.7)</f>
        <v>0</v>
      </c>
      <c r="G163" s="28">
        <v>6.6</v>
      </c>
      <c r="H163" s="344">
        <f>SUM(Suorakaidekanavat!Q50)</f>
        <v>0</v>
      </c>
      <c r="I163" s="108">
        <f>SUM(H163*6.6)</f>
        <v>0</v>
      </c>
      <c r="J163" s="48">
        <v>1</v>
      </c>
      <c r="K163" s="197">
        <f>SUM(Suorakaidekanavat!Q78)</f>
        <v>0</v>
      </c>
      <c r="L163" s="108">
        <f t="shared" si="6"/>
        <v>0</v>
      </c>
      <c r="M163" s="194">
        <v>2</v>
      </c>
      <c r="N163" s="197">
        <f>SUM(Suorakaidekanavat!Q106)</f>
        <v>0</v>
      </c>
      <c r="O163" s="108">
        <f t="shared" si="7"/>
        <v>0</v>
      </c>
      <c r="P163" s="7"/>
      <c r="Q163" s="7"/>
      <c r="R163" s="7"/>
      <c r="S163" s="7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ht="15.75" customHeight="1" x14ac:dyDescent="0.2">
      <c r="A164" s="50"/>
      <c r="B164" s="25"/>
      <c r="C164" s="25" t="s">
        <v>186</v>
      </c>
      <c r="D164" s="48">
        <v>2.88</v>
      </c>
      <c r="E164" s="344">
        <f>SUM(Suorakaidekanavat!Q23)</f>
        <v>0</v>
      </c>
      <c r="F164" s="108">
        <f>SUM(E164*2.88)</f>
        <v>0</v>
      </c>
      <c r="G164" s="15">
        <v>7.04</v>
      </c>
      <c r="H164" s="344">
        <f>SUM(Suorakaidekanavat!Q51)</f>
        <v>0</v>
      </c>
      <c r="I164" s="108">
        <f>SUM(H164*7.04)</f>
        <v>0</v>
      </c>
      <c r="J164" s="48">
        <v>1.25</v>
      </c>
      <c r="K164" s="197">
        <f>SUM(Suorakaidekanavat!Q79)</f>
        <v>0</v>
      </c>
      <c r="L164" s="108">
        <f>SUM(K164*1.25)</f>
        <v>0</v>
      </c>
      <c r="M164" s="15">
        <v>2.5</v>
      </c>
      <c r="N164" s="197">
        <f>SUM(Suorakaidekanavat!Q107)</f>
        <v>0</v>
      </c>
      <c r="O164" s="108">
        <f>SUM(N164*2.5)</f>
        <v>0</v>
      </c>
      <c r="P164" s="7"/>
      <c r="Q164" s="7"/>
      <c r="R164" s="7"/>
      <c r="S164" s="7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ht="15" customHeight="1" x14ac:dyDescent="0.2">
      <c r="A165" s="50"/>
      <c r="B165" s="25"/>
      <c r="C165" s="25" t="s">
        <v>187</v>
      </c>
      <c r="D165" s="48">
        <v>3.06</v>
      </c>
      <c r="E165" s="344">
        <f>SUM(Suorakaidekanavat!Q24)</f>
        <v>0</v>
      </c>
      <c r="F165" s="108">
        <f>SUM(E165*3.06)</f>
        <v>0</v>
      </c>
      <c r="G165" s="15">
        <v>7.48</v>
      </c>
      <c r="H165" s="344">
        <f>SUM(Suorakaidekanavat!Q52)</f>
        <v>0</v>
      </c>
      <c r="I165" s="108">
        <f>SUM(H165*7.48)</f>
        <v>0</v>
      </c>
      <c r="J165" s="48">
        <v>1.25</v>
      </c>
      <c r="K165" s="197">
        <f>SUM(Suorakaidekanavat!Q80)</f>
        <v>0</v>
      </c>
      <c r="L165" s="108">
        <f>SUM(K165*1.25)</f>
        <v>0</v>
      </c>
      <c r="M165" s="15">
        <v>2.5</v>
      </c>
      <c r="N165" s="197">
        <f>SUM(Suorakaidekanavat!Q108)</f>
        <v>0</v>
      </c>
      <c r="O165" s="108">
        <f>SUM(N165*2.5)</f>
        <v>0</v>
      </c>
      <c r="P165" s="7"/>
      <c r="Q165" s="7"/>
      <c r="R165" s="7"/>
      <c r="S165" s="7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ht="15.75" customHeight="1" x14ac:dyDescent="0.2">
      <c r="A166" s="50"/>
      <c r="B166" s="25"/>
      <c r="C166" s="25" t="s">
        <v>188</v>
      </c>
      <c r="D166" s="48">
        <v>3.24</v>
      </c>
      <c r="E166" s="344">
        <f>SUM(Suorakaidekanavat!Q25)</f>
        <v>0</v>
      </c>
      <c r="F166" s="108">
        <f>SUM(E166*3.24)</f>
        <v>0</v>
      </c>
      <c r="G166" s="15">
        <v>7.92</v>
      </c>
      <c r="H166" s="344">
        <f>SUM(Suorakaidekanavat!Q53)</f>
        <v>0</v>
      </c>
      <c r="I166" s="108">
        <f>SUM(H166*7.92)</f>
        <v>0</v>
      </c>
      <c r="J166" s="48">
        <v>1.25</v>
      </c>
      <c r="K166" s="197">
        <f>SUM(Suorakaidekanavat!Q81)</f>
        <v>0</v>
      </c>
      <c r="L166" s="108">
        <f>SUM(K166*1.25)</f>
        <v>0</v>
      </c>
      <c r="M166" s="15">
        <v>2.5</v>
      </c>
      <c r="N166" s="197">
        <f>SUM(Suorakaidekanavat!Q109)</f>
        <v>0</v>
      </c>
      <c r="O166" s="108">
        <f>SUM(N166*2.5)</f>
        <v>0</v>
      </c>
      <c r="P166" s="7"/>
      <c r="Q166" s="7"/>
      <c r="R166" s="7"/>
      <c r="S166" s="7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ht="15.75" customHeight="1" x14ac:dyDescent="0.2">
      <c r="A167" s="50"/>
      <c r="B167" s="21"/>
      <c r="C167" s="21" t="s">
        <v>189</v>
      </c>
      <c r="D167" s="48">
        <v>3.42</v>
      </c>
      <c r="E167" s="344">
        <f>SUM(Suorakaidekanavat!Q26)</f>
        <v>0</v>
      </c>
      <c r="F167" s="108">
        <f>SUM(E167*3.42)</f>
        <v>0</v>
      </c>
      <c r="G167" s="15">
        <v>8.36</v>
      </c>
      <c r="H167" s="344">
        <f>SUM(Suorakaidekanavat!Q54)</f>
        <v>0</v>
      </c>
      <c r="I167" s="108">
        <f>SUM(H167*8.36)</f>
        <v>0</v>
      </c>
      <c r="J167" s="48">
        <v>1.25</v>
      </c>
      <c r="K167" s="197">
        <f>SUM(Suorakaidekanavat!Q82)</f>
        <v>0</v>
      </c>
      <c r="L167" s="108">
        <f>SUM(K167*1.25)</f>
        <v>0</v>
      </c>
      <c r="M167" s="15">
        <v>2.5</v>
      </c>
      <c r="N167" s="197">
        <f>SUM(Suorakaidekanavat!Q110)</f>
        <v>0</v>
      </c>
      <c r="O167" s="108">
        <f>SUM(N167*2.5)</f>
        <v>0</v>
      </c>
      <c r="P167" s="7"/>
      <c r="Q167" s="7"/>
      <c r="R167" s="7"/>
      <c r="S167" s="7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ht="15.75" customHeight="1" x14ac:dyDescent="0.2">
      <c r="A168" s="50"/>
      <c r="B168" s="61" t="s">
        <v>190</v>
      </c>
      <c r="C168" s="61" t="s">
        <v>191</v>
      </c>
      <c r="D168" s="48">
        <v>3.6</v>
      </c>
      <c r="E168" s="344">
        <f>SUM(Suorakaidekanavat!Q27)</f>
        <v>0</v>
      </c>
      <c r="F168" s="108">
        <f>SUM(E168*3.6)</f>
        <v>0</v>
      </c>
      <c r="G168" s="28">
        <v>8.8000000000000007</v>
      </c>
      <c r="H168" s="344">
        <f>SUM(Suorakaidekanavat!Q55)</f>
        <v>0</v>
      </c>
      <c r="I168" s="108">
        <f>SUM(H168*8.8)</f>
        <v>0</v>
      </c>
      <c r="J168" s="48">
        <v>1.25</v>
      </c>
      <c r="K168" s="197">
        <f>SUM(Suorakaidekanavat!Q83)</f>
        <v>0</v>
      </c>
      <c r="L168" s="108">
        <f>SUM(K168*1.25)</f>
        <v>0</v>
      </c>
      <c r="M168" s="15">
        <v>2.5</v>
      </c>
      <c r="N168" s="197">
        <f>SUM(Suorakaidekanavat!Q111)</f>
        <v>0</v>
      </c>
      <c r="O168" s="108">
        <f>SUM(N168*2.5)</f>
        <v>0</v>
      </c>
      <c r="P168" s="7"/>
      <c r="Q168" s="7"/>
      <c r="R168" s="7"/>
      <c r="S168" s="7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ht="15.75" customHeight="1" thickBot="1" x14ac:dyDescent="0.25">
      <c r="A169" s="7"/>
      <c r="B169" s="7"/>
      <c r="C169" s="7"/>
      <c r="D169" s="55"/>
      <c r="E169" s="189" t="s">
        <v>0</v>
      </c>
      <c r="F169" s="756">
        <f>SUM(F146:F168)</f>
        <v>0</v>
      </c>
      <c r="G169" s="100"/>
      <c r="H169" s="189" t="s">
        <v>0</v>
      </c>
      <c r="I169" s="756">
        <f>SUM(I146:I168)</f>
        <v>0</v>
      </c>
      <c r="J169" s="100"/>
      <c r="K169" s="189" t="s">
        <v>0</v>
      </c>
      <c r="L169" s="756">
        <f>SUM(L146:L168)</f>
        <v>0</v>
      </c>
      <c r="M169" s="100"/>
      <c r="N169" s="189" t="s">
        <v>0</v>
      </c>
      <c r="O169" s="756">
        <f>SUM(O146:O168)</f>
        <v>0</v>
      </c>
      <c r="P169" s="7"/>
      <c r="Q169" s="7"/>
      <c r="R169" s="7"/>
      <c r="S169" s="7"/>
      <c r="T169" s="120"/>
      <c r="U169" s="120"/>
      <c r="V169" s="120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ht="15.75" customHeight="1" x14ac:dyDescent="0.2">
      <c r="A170" s="7"/>
      <c r="B170" s="91" t="s">
        <v>245</v>
      </c>
      <c r="C170" s="7"/>
      <c r="D170" s="55"/>
      <c r="E170" s="7"/>
      <c r="F170" s="55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120"/>
      <c r="U170" s="120"/>
      <c r="V170" s="120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ht="15.75" customHeight="1" x14ac:dyDescent="0.2">
      <c r="A171" s="7"/>
      <c r="B171" s="91" t="s">
        <v>246</v>
      </c>
      <c r="C171" s="7"/>
      <c r="D171" s="55"/>
      <c r="E171" s="7"/>
      <c r="F171" s="55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120"/>
      <c r="U171" s="120"/>
      <c r="V171" s="120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ht="15.75" customHeight="1" x14ac:dyDescent="0.2">
      <c r="A172" s="7"/>
      <c r="B172" s="91" t="s">
        <v>247</v>
      </c>
      <c r="C172" s="7"/>
      <c r="D172" s="55"/>
      <c r="E172" s="7"/>
      <c r="F172" s="55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120"/>
      <c r="U172" s="120"/>
      <c r="V172" s="120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ht="15" customHeight="1" thickBot="1" x14ac:dyDescent="0.25">
      <c r="A173" s="7"/>
      <c r="B173" s="7" t="s">
        <v>241</v>
      </c>
      <c r="C173" s="7"/>
      <c r="D173" s="55"/>
      <c r="E173" s="7"/>
      <c r="F173" s="55"/>
      <c r="G173" s="7"/>
      <c r="H173" s="7"/>
      <c r="I173" s="7"/>
      <c r="J173" s="7"/>
      <c r="K173" s="7"/>
      <c r="L173" s="7"/>
      <c r="M173" s="7"/>
      <c r="N173" s="7"/>
      <c r="O173" s="68"/>
      <c r="P173" s="100" t="s">
        <v>220</v>
      </c>
      <c r="Q173" s="100" t="s">
        <v>0</v>
      </c>
      <c r="R173" s="741">
        <f>SUM(F169+I169+L169+O169+R147)</f>
        <v>0</v>
      </c>
      <c r="S173" s="7"/>
      <c r="T173" s="120"/>
      <c r="U173" s="120"/>
      <c r="V173" s="120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ht="12.75" x14ac:dyDescent="0.2">
      <c r="A174" s="7"/>
      <c r="B174" s="91" t="s">
        <v>248</v>
      </c>
      <c r="C174" s="7"/>
      <c r="D174" s="55"/>
      <c r="E174" s="7"/>
      <c r="F174" s="55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1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x14ac:dyDescent="0.45">
      <c r="B175" s="17"/>
      <c r="C175" s="17"/>
      <c r="D175" s="17"/>
      <c r="E175" s="25"/>
      <c r="F175" s="25"/>
      <c r="G175" s="8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ht="18" x14ac:dyDescent="0.25">
      <c r="A176" s="449" t="s">
        <v>522</v>
      </c>
      <c r="C176" s="55"/>
      <c r="D176" s="7"/>
      <c r="E176" s="55"/>
      <c r="F176" s="7"/>
      <c r="G176" s="7"/>
      <c r="H176" s="7"/>
      <c r="I176" s="7"/>
      <c r="J176" s="367" t="s">
        <v>234</v>
      </c>
      <c r="K176" s="7"/>
      <c r="L176" s="7"/>
      <c r="M176" s="7"/>
      <c r="N176" s="7"/>
      <c r="O176" s="7"/>
      <c r="P176" s="7"/>
      <c r="Q176" s="7"/>
      <c r="R176" s="7"/>
      <c r="S176" s="7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ht="15.75" x14ac:dyDescent="0.25">
      <c r="A177" s="479" t="s">
        <v>396</v>
      </c>
      <c r="C177" s="55"/>
      <c r="D177" s="7"/>
      <c r="E177" s="55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ht="15.75" x14ac:dyDescent="0.25">
      <c r="A178" s="7"/>
      <c r="B178" s="44"/>
      <c r="C178" s="55"/>
      <c r="D178" s="7"/>
      <c r="E178" s="55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ht="12.75" x14ac:dyDescent="0.2">
      <c r="A179" s="7"/>
      <c r="B179" s="7"/>
      <c r="C179" s="55"/>
      <c r="D179" s="7"/>
      <c r="E179" s="55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ht="12.75" x14ac:dyDescent="0.2">
      <c r="A180" s="7"/>
      <c r="B180" s="7"/>
      <c r="C180" s="55"/>
      <c r="D180" s="7"/>
      <c r="E180" s="55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ht="12.75" x14ac:dyDescent="0.2">
      <c r="A181" s="7"/>
      <c r="B181" s="7"/>
      <c r="C181" s="55"/>
      <c r="D181" s="7"/>
      <c r="E181" s="55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120"/>
      <c r="U181" s="120"/>
      <c r="V181" s="239"/>
      <c r="W181" s="120"/>
      <c r="X181" s="239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ht="12.75" x14ac:dyDescent="0.2">
      <c r="A182" s="70" t="s">
        <v>192</v>
      </c>
      <c r="B182" s="447"/>
      <c r="C182" s="3"/>
      <c r="D182" s="51"/>
      <c r="E182" s="3"/>
      <c r="F182" s="51"/>
      <c r="G182" s="3" t="s">
        <v>193</v>
      </c>
      <c r="H182" s="3"/>
      <c r="I182" s="3"/>
      <c r="J182" s="3"/>
      <c r="K182" s="3"/>
      <c r="L182" s="3"/>
      <c r="M182" s="13"/>
      <c r="N182" s="7"/>
      <c r="O182" s="7"/>
      <c r="P182" s="7"/>
      <c r="Q182" s="7"/>
      <c r="R182" s="7"/>
      <c r="S182" s="7"/>
      <c r="T182" s="120"/>
      <c r="U182" s="120"/>
      <c r="V182" s="239"/>
      <c r="W182" s="120"/>
      <c r="X182" s="239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ht="12.75" x14ac:dyDescent="0.2">
      <c r="A183" s="26" t="s">
        <v>1</v>
      </c>
      <c r="B183" s="21">
        <v>100</v>
      </c>
      <c r="C183" s="21">
        <v>150</v>
      </c>
      <c r="D183" s="77">
        <v>200</v>
      </c>
      <c r="E183" s="21">
        <v>250</v>
      </c>
      <c r="F183" s="77">
        <v>300</v>
      </c>
      <c r="G183" s="21">
        <v>400</v>
      </c>
      <c r="H183" s="21">
        <v>500</v>
      </c>
      <c r="I183" s="21">
        <v>600</v>
      </c>
      <c r="J183" s="21">
        <v>800</v>
      </c>
      <c r="K183" s="21">
        <v>1000</v>
      </c>
      <c r="L183" s="21">
        <v>1200</v>
      </c>
      <c r="M183" s="67">
        <v>1500</v>
      </c>
      <c r="N183" s="7"/>
      <c r="O183" s="7"/>
      <c r="P183" s="7"/>
      <c r="Q183" s="7"/>
      <c r="R183" s="7"/>
      <c r="S183" s="7"/>
      <c r="T183" s="120"/>
      <c r="U183" s="120"/>
      <c r="V183" s="239"/>
      <c r="W183" s="120"/>
      <c r="X183" s="239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ht="12.75" x14ac:dyDescent="0.2">
      <c r="A184" s="26">
        <v>200</v>
      </c>
      <c r="B184" s="79"/>
      <c r="C184" s="79"/>
      <c r="D184" s="80"/>
      <c r="E184" s="79"/>
      <c r="F184" s="80" t="s">
        <v>194</v>
      </c>
      <c r="G184" s="3"/>
      <c r="H184" s="3"/>
      <c r="I184" s="3"/>
      <c r="J184" s="3"/>
      <c r="K184" s="3"/>
      <c r="L184" s="3"/>
      <c r="M184" s="13"/>
      <c r="N184" s="7"/>
      <c r="O184" s="7"/>
      <c r="P184" s="7"/>
      <c r="Q184" s="7"/>
      <c r="R184" s="7"/>
      <c r="S184" s="7"/>
      <c r="T184" s="120"/>
      <c r="U184" s="120"/>
      <c r="V184" s="239"/>
      <c r="W184" s="120"/>
      <c r="X184" s="239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ht="12.75" x14ac:dyDescent="0.2">
      <c r="A185" s="26">
        <v>250</v>
      </c>
      <c r="B185" s="58"/>
      <c r="C185" s="58"/>
      <c r="D185" s="59"/>
      <c r="E185" s="58"/>
      <c r="F185" s="55"/>
      <c r="G185" s="7"/>
      <c r="H185" s="7"/>
      <c r="I185" s="7"/>
      <c r="J185" s="7"/>
      <c r="K185" s="7"/>
      <c r="L185" s="7"/>
      <c r="M185" s="50"/>
      <c r="N185" s="7"/>
      <c r="O185" s="7"/>
      <c r="P185" s="7"/>
      <c r="Q185" s="7"/>
      <c r="R185" s="7"/>
      <c r="S185" s="7"/>
      <c r="T185" s="120"/>
      <c r="U185" s="120"/>
      <c r="V185" s="239"/>
      <c r="W185" s="120"/>
      <c r="X185" s="239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ht="12.75" x14ac:dyDescent="0.2">
      <c r="A186" s="26">
        <v>300</v>
      </c>
      <c r="B186" s="81"/>
      <c r="C186" s="81"/>
      <c r="D186" s="60" t="s">
        <v>194</v>
      </c>
      <c r="E186" s="21" t="s">
        <v>195</v>
      </c>
      <c r="F186" s="54" t="s">
        <v>171</v>
      </c>
      <c r="G186" s="7"/>
      <c r="H186" s="7"/>
      <c r="I186" s="7"/>
      <c r="J186" s="7"/>
      <c r="K186" s="7"/>
      <c r="L186" s="7"/>
      <c r="M186" s="50"/>
      <c r="N186" s="7"/>
      <c r="O186" s="7"/>
      <c r="P186" s="7"/>
      <c r="Q186" s="7"/>
      <c r="R186" s="7"/>
      <c r="S186" s="7"/>
      <c r="T186" s="120"/>
      <c r="U186" s="120"/>
      <c r="V186" s="239"/>
      <c r="W186" s="120"/>
      <c r="X186" s="239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ht="12.75" x14ac:dyDescent="0.2">
      <c r="A187" s="26">
        <v>400</v>
      </c>
      <c r="B187" s="448" t="s">
        <v>194</v>
      </c>
      <c r="C187" s="25" t="s">
        <v>195</v>
      </c>
      <c r="D187" s="55" t="s">
        <v>168</v>
      </c>
      <c r="E187" s="25" t="s">
        <v>196</v>
      </c>
      <c r="F187" s="55" t="s">
        <v>169</v>
      </c>
      <c r="G187" s="25" t="s">
        <v>170</v>
      </c>
      <c r="H187" s="25"/>
      <c r="I187" s="25"/>
      <c r="J187" s="25"/>
      <c r="K187" s="25"/>
      <c r="L187" s="25"/>
      <c r="M187" s="74"/>
      <c r="N187" s="7"/>
      <c r="O187" s="7"/>
      <c r="P187" s="7"/>
      <c r="Q187" s="7"/>
      <c r="R187" s="7"/>
      <c r="S187" s="7"/>
      <c r="T187" s="120"/>
      <c r="U187" s="120"/>
      <c r="V187" s="239"/>
      <c r="W187" s="120"/>
      <c r="X187" s="239"/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ht="12.75" x14ac:dyDescent="0.2">
      <c r="A188" s="26">
        <v>500</v>
      </c>
      <c r="B188" s="21" t="s">
        <v>168</v>
      </c>
      <c r="C188" s="21" t="s">
        <v>196</v>
      </c>
      <c r="D188" s="54" t="s">
        <v>169</v>
      </c>
      <c r="E188" s="21" t="s">
        <v>197</v>
      </c>
      <c r="F188" s="54" t="s">
        <v>170</v>
      </c>
      <c r="G188" s="21" t="s">
        <v>171</v>
      </c>
      <c r="H188" s="21" t="s">
        <v>172</v>
      </c>
      <c r="I188" s="76"/>
      <c r="J188" s="76"/>
      <c r="K188" s="76"/>
      <c r="L188" s="76"/>
      <c r="M188" s="67" t="s">
        <v>178</v>
      </c>
      <c r="N188" s="7"/>
      <c r="O188" s="7"/>
      <c r="P188" s="7"/>
      <c r="Q188" s="7"/>
      <c r="R188" s="7"/>
      <c r="S188" s="7"/>
      <c r="T188" s="120"/>
      <c r="U188" s="120"/>
      <c r="V188" s="239"/>
      <c r="W188" s="120"/>
      <c r="X188" s="239"/>
      <c r="Y188" s="120"/>
      <c r="Z188" s="120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20"/>
      <c r="AL188" s="120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ht="12.75" x14ac:dyDescent="0.2">
      <c r="A189" s="26">
        <v>600</v>
      </c>
      <c r="B189" s="25" t="s">
        <v>169</v>
      </c>
      <c r="C189" s="25" t="s">
        <v>197</v>
      </c>
      <c r="D189" s="55" t="s">
        <v>170</v>
      </c>
      <c r="E189" s="25" t="s">
        <v>198</v>
      </c>
      <c r="F189" s="55" t="s">
        <v>171</v>
      </c>
      <c r="G189" s="25" t="s">
        <v>172</v>
      </c>
      <c r="H189" s="25" t="s">
        <v>199</v>
      </c>
      <c r="I189" s="25" t="s">
        <v>173</v>
      </c>
      <c r="J189" s="25"/>
      <c r="K189" s="25"/>
      <c r="L189" s="25"/>
      <c r="M189" s="74"/>
      <c r="N189" s="7"/>
      <c r="O189" s="7"/>
      <c r="P189" s="7"/>
      <c r="Q189" s="7"/>
      <c r="R189" s="7"/>
      <c r="S189" s="7"/>
      <c r="T189" s="120"/>
      <c r="U189" s="120"/>
      <c r="V189" s="239"/>
      <c r="W189" s="120"/>
      <c r="X189" s="239"/>
      <c r="Y189" s="120"/>
      <c r="Z189" s="120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ht="12.75" x14ac:dyDescent="0.2">
      <c r="A190" s="26">
        <v>800</v>
      </c>
      <c r="B190" s="21" t="s">
        <v>171</v>
      </c>
      <c r="C190" s="21" t="s">
        <v>200</v>
      </c>
      <c r="D190" s="54" t="s">
        <v>172</v>
      </c>
      <c r="E190" s="21" t="s">
        <v>201</v>
      </c>
      <c r="F190" s="54" t="s">
        <v>199</v>
      </c>
      <c r="G190" s="21" t="s">
        <v>173</v>
      </c>
      <c r="H190" s="21" t="s">
        <v>202</v>
      </c>
      <c r="I190" s="21" t="s">
        <v>174</v>
      </c>
      <c r="J190" s="21" t="s">
        <v>175</v>
      </c>
      <c r="K190" s="25"/>
      <c r="L190" s="21"/>
      <c r="M190" s="74"/>
      <c r="N190" s="7"/>
      <c r="O190" s="7"/>
      <c r="P190" s="7"/>
      <c r="Q190" s="7"/>
      <c r="R190" s="7"/>
      <c r="S190" s="7"/>
      <c r="T190" s="120"/>
      <c r="U190" s="120"/>
      <c r="V190" s="239"/>
      <c r="W190" s="120"/>
      <c r="X190" s="239"/>
      <c r="Y190" s="120"/>
      <c r="Z190" s="120"/>
      <c r="AA190" s="120"/>
      <c r="AB190" s="120"/>
      <c r="AC190" s="120"/>
      <c r="AD190" s="120"/>
      <c r="AE190" s="120"/>
      <c r="AF190" s="120"/>
      <c r="AG190" s="120"/>
      <c r="AH190" s="120"/>
      <c r="AI190" s="120"/>
      <c r="AJ190" s="120"/>
      <c r="AK190" s="120"/>
      <c r="AL190" s="120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ht="12.75" x14ac:dyDescent="0.2">
      <c r="A191" s="26">
        <v>1000</v>
      </c>
      <c r="B191" s="7"/>
      <c r="C191" s="7"/>
      <c r="D191" s="55" t="s">
        <v>173</v>
      </c>
      <c r="E191" s="25" t="s">
        <v>203</v>
      </c>
      <c r="F191" s="55" t="s">
        <v>202</v>
      </c>
      <c r="G191" s="25" t="s">
        <v>174</v>
      </c>
      <c r="H191" s="25" t="s">
        <v>204</v>
      </c>
      <c r="I191" s="25" t="s">
        <v>175</v>
      </c>
      <c r="J191" s="25" t="s">
        <v>176</v>
      </c>
      <c r="K191" s="21" t="s">
        <v>178</v>
      </c>
      <c r="L191" s="25"/>
      <c r="M191" s="74" t="s">
        <v>181</v>
      </c>
      <c r="N191" s="7"/>
      <c r="O191" s="7"/>
      <c r="P191" s="7"/>
      <c r="Q191" s="7"/>
      <c r="R191" s="7"/>
      <c r="S191" s="7"/>
      <c r="T191" s="120"/>
      <c r="U191" s="120"/>
      <c r="V191" s="239"/>
      <c r="W191" s="120"/>
      <c r="X191" s="239"/>
      <c r="Y191" s="120"/>
      <c r="Z191" s="120"/>
      <c r="AA191" s="120"/>
      <c r="AB191" s="120"/>
      <c r="AC191" s="120"/>
      <c r="AD191" s="120"/>
      <c r="AE191" s="120"/>
      <c r="AF191" s="120"/>
      <c r="AG191" s="120"/>
      <c r="AH191" s="120"/>
      <c r="AI191" s="120"/>
      <c r="AJ191" s="120"/>
      <c r="AK191" s="120"/>
      <c r="AL191" s="120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ht="12.75" x14ac:dyDescent="0.2">
      <c r="A192" s="26">
        <v>1200</v>
      </c>
      <c r="B192" s="7"/>
      <c r="C192" s="7"/>
      <c r="D192" s="55"/>
      <c r="E192" s="7"/>
      <c r="F192" s="55" t="s">
        <v>204</v>
      </c>
      <c r="G192" s="25" t="s">
        <v>175</v>
      </c>
      <c r="H192" s="25" t="s">
        <v>205</v>
      </c>
      <c r="I192" s="25" t="s">
        <v>176</v>
      </c>
      <c r="J192" s="21" t="s">
        <v>178</v>
      </c>
      <c r="K192" s="25" t="s">
        <v>179</v>
      </c>
      <c r="L192" s="25" t="s">
        <v>180</v>
      </c>
      <c r="M192" s="74" t="s">
        <v>182</v>
      </c>
      <c r="N192" s="7"/>
      <c r="O192" s="7"/>
      <c r="P192" s="7"/>
      <c r="Q192" s="7"/>
      <c r="R192" s="7"/>
      <c r="S192" s="7"/>
      <c r="T192" s="120"/>
      <c r="U192" s="120"/>
      <c r="V192" s="239"/>
      <c r="W192" s="120"/>
      <c r="X192" s="239"/>
      <c r="Y192" s="120"/>
      <c r="Z192" s="120"/>
      <c r="AA192" s="120"/>
      <c r="AB192" s="120"/>
      <c r="AC192" s="120"/>
      <c r="AD192" s="120"/>
      <c r="AE192" s="120"/>
      <c r="AF192" s="120"/>
      <c r="AG192" s="120"/>
      <c r="AH192" s="120"/>
      <c r="AI192" s="120"/>
      <c r="AJ192" s="120"/>
      <c r="AK192" s="120"/>
      <c r="AL192" s="120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ht="12.75" x14ac:dyDescent="0.2">
      <c r="A193" s="26">
        <v>1400</v>
      </c>
      <c r="B193" s="75"/>
      <c r="C193" s="75"/>
      <c r="D193" s="78"/>
      <c r="E193" s="75"/>
      <c r="F193" s="78"/>
      <c r="G193" s="76"/>
      <c r="H193" s="21" t="s">
        <v>177</v>
      </c>
      <c r="I193" s="21" t="s">
        <v>178</v>
      </c>
      <c r="J193" s="25" t="s">
        <v>179</v>
      </c>
      <c r="K193" s="25" t="s">
        <v>180</v>
      </c>
      <c r="L193" s="25" t="s">
        <v>206</v>
      </c>
      <c r="M193" s="74" t="s">
        <v>183</v>
      </c>
      <c r="N193" s="7"/>
      <c r="O193" s="7"/>
      <c r="P193" s="7"/>
      <c r="Q193" s="7"/>
      <c r="R193" s="7"/>
      <c r="S193" s="7"/>
      <c r="T193" s="120"/>
      <c r="U193" s="120"/>
      <c r="V193" s="239"/>
      <c r="W193" s="120"/>
      <c r="X193" s="239"/>
      <c r="Y193" s="120"/>
      <c r="Z193" s="120"/>
      <c r="AA193" s="120"/>
      <c r="AB193" s="120"/>
      <c r="AC193" s="120"/>
      <c r="AD193" s="120"/>
      <c r="AE193" s="120"/>
      <c r="AF193" s="120"/>
      <c r="AG193" s="120"/>
      <c r="AH193" s="120"/>
      <c r="AI193" s="120"/>
      <c r="AJ193" s="120"/>
      <c r="AK193" s="120"/>
      <c r="AL193" s="120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ht="12.75" x14ac:dyDescent="0.2">
      <c r="A194" s="26">
        <v>1600</v>
      </c>
      <c r="B194" s="7"/>
      <c r="C194" s="7"/>
      <c r="D194" s="55"/>
      <c r="E194" s="7"/>
      <c r="F194" s="55"/>
      <c r="G194" s="25"/>
      <c r="H194" s="25"/>
      <c r="I194" s="25"/>
      <c r="J194" s="30" t="s">
        <v>180</v>
      </c>
      <c r="K194" s="30" t="s">
        <v>206</v>
      </c>
      <c r="L194" s="30" t="s">
        <v>207</v>
      </c>
      <c r="M194" s="12" t="s">
        <v>208</v>
      </c>
      <c r="N194" s="7"/>
      <c r="O194" s="7"/>
      <c r="P194" s="7"/>
      <c r="Q194" s="7"/>
      <c r="R194" s="7"/>
      <c r="S194" s="7"/>
      <c r="T194" s="120"/>
      <c r="U194" s="120"/>
      <c r="V194" s="239"/>
      <c r="W194" s="120"/>
      <c r="X194" s="239"/>
      <c r="Y194" s="120"/>
      <c r="Z194" s="120"/>
      <c r="AA194" s="120"/>
      <c r="AB194" s="120"/>
      <c r="AC194" s="120"/>
      <c r="AD194" s="120"/>
      <c r="AE194" s="120"/>
      <c r="AF194" s="120"/>
      <c r="AG194" s="120"/>
      <c r="AH194" s="120"/>
      <c r="AI194" s="120"/>
      <c r="AJ194" s="120"/>
      <c r="AK194" s="120"/>
      <c r="AL194" s="120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ht="12.75" x14ac:dyDescent="0.2">
      <c r="A195" s="26">
        <v>1800</v>
      </c>
      <c r="B195" s="7"/>
      <c r="C195" s="7"/>
      <c r="D195" s="55"/>
      <c r="E195" s="7"/>
      <c r="F195" s="55"/>
      <c r="G195" s="25"/>
      <c r="H195" s="25"/>
      <c r="I195" s="25"/>
      <c r="J195" s="25" t="s">
        <v>206</v>
      </c>
      <c r="K195" s="25" t="s">
        <v>207</v>
      </c>
      <c r="L195" s="25" t="s">
        <v>185</v>
      </c>
      <c r="M195" s="74" t="s">
        <v>209</v>
      </c>
      <c r="N195" s="7"/>
      <c r="O195" s="7"/>
      <c r="P195" s="7"/>
      <c r="Q195" s="7"/>
      <c r="R195" s="7"/>
      <c r="S195" s="7"/>
      <c r="T195" s="120"/>
      <c r="U195" s="120"/>
      <c r="V195" s="239"/>
      <c r="W195" s="120"/>
      <c r="X195" s="239"/>
      <c r="Y195" s="120"/>
      <c r="Z195" s="120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20"/>
      <c r="AL195" s="120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ht="12.75" x14ac:dyDescent="0.2">
      <c r="A196" s="26">
        <v>2000</v>
      </c>
      <c r="B196" s="75"/>
      <c r="C196" s="75"/>
      <c r="D196" s="78"/>
      <c r="E196" s="75"/>
      <c r="F196" s="78"/>
      <c r="G196" s="76"/>
      <c r="H196" s="21" t="s">
        <v>181</v>
      </c>
      <c r="I196" s="76"/>
      <c r="J196" s="21" t="s">
        <v>207</v>
      </c>
      <c r="K196" s="21" t="s">
        <v>185</v>
      </c>
      <c r="L196" s="21" t="s">
        <v>186</v>
      </c>
      <c r="M196" s="67" t="s">
        <v>210</v>
      </c>
      <c r="N196" s="7"/>
      <c r="O196" s="7"/>
      <c r="P196" s="7"/>
      <c r="Q196" s="7"/>
      <c r="R196" s="7"/>
      <c r="S196" s="7"/>
      <c r="T196" s="120"/>
      <c r="U196" s="120"/>
      <c r="V196" s="239"/>
      <c r="W196" s="120"/>
      <c r="X196" s="239"/>
      <c r="Y196" s="120"/>
      <c r="Z196" s="120"/>
      <c r="AA196" s="120"/>
      <c r="AB196" s="120"/>
      <c r="AC196" s="120"/>
      <c r="AD196" s="120"/>
      <c r="AE196" s="120"/>
      <c r="AF196" s="120"/>
      <c r="AG196" s="120"/>
      <c r="AH196" s="120"/>
      <c r="AI196" s="120"/>
      <c r="AJ196" s="120"/>
      <c r="AK196" s="120"/>
      <c r="AL196" s="120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ht="12.75" x14ac:dyDescent="0.2">
      <c r="A197" s="26">
        <v>2400</v>
      </c>
      <c r="B197" s="7"/>
      <c r="C197" s="7"/>
      <c r="D197" s="55"/>
      <c r="E197" s="7"/>
      <c r="F197" s="55"/>
      <c r="G197" s="25"/>
      <c r="H197" s="25"/>
      <c r="I197" s="25"/>
      <c r="J197" s="25"/>
      <c r="K197" s="30" t="s">
        <v>187</v>
      </c>
      <c r="L197" s="30" t="s">
        <v>188</v>
      </c>
      <c r="M197" s="12" t="s">
        <v>211</v>
      </c>
      <c r="N197" s="7"/>
      <c r="O197" s="7"/>
      <c r="P197" s="7"/>
      <c r="Q197" s="7"/>
      <c r="R197" s="7"/>
      <c r="S197" s="7"/>
      <c r="T197" s="120"/>
      <c r="U197" s="120"/>
      <c r="V197" s="239"/>
      <c r="W197" s="120"/>
      <c r="X197" s="239"/>
      <c r="Y197" s="120"/>
      <c r="Z197" s="120"/>
      <c r="AA197" s="120"/>
      <c r="AB197" s="120"/>
      <c r="AC197" s="120"/>
      <c r="AD197" s="120"/>
      <c r="AE197" s="120"/>
      <c r="AF197" s="120"/>
      <c r="AG197" s="120"/>
      <c r="AH197" s="120"/>
      <c r="AI197" s="120"/>
      <c r="AJ197" s="120"/>
      <c r="AK197" s="120"/>
      <c r="AL197" s="120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ht="12.75" x14ac:dyDescent="0.2">
      <c r="A198" s="26">
        <v>2800</v>
      </c>
      <c r="B198" s="7"/>
      <c r="C198" s="7"/>
      <c r="D198" s="55"/>
      <c r="E198" s="7"/>
      <c r="F198" s="55"/>
      <c r="G198" s="25"/>
      <c r="H198" s="25"/>
      <c r="I198" s="25"/>
      <c r="J198" s="25"/>
      <c r="K198" s="25" t="s">
        <v>189</v>
      </c>
      <c r="L198" s="25" t="s">
        <v>191</v>
      </c>
      <c r="M198" s="74" t="s">
        <v>212</v>
      </c>
      <c r="N198" s="7"/>
      <c r="O198" s="7"/>
      <c r="P198" s="7"/>
      <c r="Q198" s="7"/>
      <c r="R198" s="7"/>
      <c r="S198" s="7"/>
      <c r="T198" s="120"/>
      <c r="U198" s="120"/>
      <c r="V198" s="239"/>
      <c r="W198" s="120"/>
      <c r="X198" s="239"/>
      <c r="Y198" s="120"/>
      <c r="Z198" s="120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20"/>
      <c r="AL198" s="120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ht="12.75" x14ac:dyDescent="0.2">
      <c r="A199" s="26">
        <v>3000</v>
      </c>
      <c r="B199" s="75"/>
      <c r="C199" s="75"/>
      <c r="D199" s="78"/>
      <c r="E199" s="75"/>
      <c r="F199" s="78"/>
      <c r="G199" s="76"/>
      <c r="H199" s="21" t="s">
        <v>210</v>
      </c>
      <c r="I199" s="76"/>
      <c r="J199" s="76"/>
      <c r="K199" s="21" t="s">
        <v>191</v>
      </c>
      <c r="L199" s="21" t="s">
        <v>213</v>
      </c>
      <c r="M199" s="67" t="s">
        <v>214</v>
      </c>
      <c r="N199" s="7"/>
      <c r="O199" s="7"/>
      <c r="P199" s="7"/>
      <c r="Q199" s="7"/>
      <c r="R199" s="7"/>
      <c r="S199" s="7"/>
      <c r="T199" s="120"/>
      <c r="U199" s="120"/>
      <c r="V199" s="239"/>
      <c r="W199" s="120"/>
      <c r="X199" s="239"/>
      <c r="Y199" s="120"/>
      <c r="Z199" s="120"/>
      <c r="AA199" s="120"/>
      <c r="AB199" s="120"/>
      <c r="AC199" s="120"/>
      <c r="AD199" s="120"/>
      <c r="AE199" s="120"/>
      <c r="AF199" s="120"/>
      <c r="AG199" s="120"/>
      <c r="AH199" s="120"/>
      <c r="AI199" s="120"/>
      <c r="AJ199" s="120"/>
      <c r="AK199" s="120"/>
      <c r="AL199" s="120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ht="12.75" x14ac:dyDescent="0.2">
      <c r="A200" s="29">
        <v>3200</v>
      </c>
      <c r="B200" s="22"/>
      <c r="C200" s="22"/>
      <c r="D200" s="54"/>
      <c r="E200" s="22"/>
      <c r="F200" s="54"/>
      <c r="G200" s="21"/>
      <c r="H200" s="21"/>
      <c r="I200" s="21"/>
      <c r="J200" s="21"/>
      <c r="K200" s="21" t="s">
        <v>213</v>
      </c>
      <c r="L200" s="21" t="s">
        <v>215</v>
      </c>
      <c r="M200" s="67" t="s">
        <v>216</v>
      </c>
      <c r="N200" s="7"/>
      <c r="O200" s="7"/>
      <c r="P200" s="7"/>
      <c r="Q200" s="7"/>
      <c r="R200" s="7"/>
      <c r="S200" s="7"/>
      <c r="T200" s="120"/>
      <c r="U200" s="120"/>
      <c r="V200" s="239"/>
      <c r="W200" s="120"/>
      <c r="X200" s="239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120"/>
      <c r="AK200" s="120"/>
      <c r="AL200" s="120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ht="12.75" x14ac:dyDescent="0.2">
      <c r="A201" s="7"/>
      <c r="B201" s="7"/>
      <c r="C201" s="55"/>
      <c r="D201" s="7"/>
      <c r="E201" s="55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20"/>
      <c r="U201" s="120"/>
      <c r="V201" s="239"/>
      <c r="W201" s="120"/>
      <c r="X201" s="239"/>
      <c r="Y201" s="120"/>
      <c r="Z201" s="120"/>
      <c r="AA201" s="120"/>
      <c r="AB201" s="120"/>
      <c r="AC201" s="120"/>
      <c r="AD201" s="120"/>
      <c r="AE201" s="120"/>
      <c r="AF201" s="120"/>
      <c r="AG201" s="120"/>
      <c r="AH201" s="120"/>
      <c r="AI201" s="120"/>
      <c r="AJ201" s="120"/>
      <c r="AK201" s="120"/>
      <c r="AL201" s="120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ht="12.75" x14ac:dyDescent="0.2">
      <c r="A202" s="7"/>
      <c r="B202" s="7"/>
      <c r="C202" s="55"/>
      <c r="D202" s="7"/>
      <c r="E202" s="55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120"/>
      <c r="U202" s="120"/>
      <c r="V202" s="239"/>
      <c r="W202" s="120"/>
      <c r="X202" s="239"/>
      <c r="Y202" s="120"/>
      <c r="Z202" s="120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120"/>
      <c r="AK202" s="120"/>
      <c r="AL202" s="120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ht="12.75" x14ac:dyDescent="0.2">
      <c r="A203" s="7"/>
      <c r="B203" s="7"/>
      <c r="C203" s="55"/>
      <c r="D203" s="7"/>
      <c r="E203" s="55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20"/>
      <c r="U203" s="120"/>
      <c r="V203" s="239"/>
      <c r="W203" s="120"/>
      <c r="X203" s="239"/>
      <c r="Y203" s="120"/>
      <c r="Z203" s="120"/>
      <c r="AA203" s="120"/>
      <c r="AB203" s="120"/>
      <c r="AC203" s="120"/>
      <c r="AD203" s="120"/>
      <c r="AE203" s="120"/>
      <c r="AF203" s="120"/>
      <c r="AG203" s="120"/>
      <c r="AH203" s="120"/>
      <c r="AI203" s="120"/>
      <c r="AJ203" s="120"/>
      <c r="AK203" s="120"/>
      <c r="AL203" s="120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ht="12.75" x14ac:dyDescent="0.2">
      <c r="A204" s="7"/>
      <c r="B204" s="7"/>
      <c r="C204" s="55"/>
      <c r="D204" s="7"/>
      <c r="E204" s="55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120"/>
      <c r="U204" s="120"/>
      <c r="V204" s="239"/>
      <c r="W204" s="120"/>
      <c r="X204" s="239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120"/>
      <c r="AK204" s="120"/>
      <c r="AL204" s="120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ht="12.75" x14ac:dyDescent="0.2">
      <c r="A205" s="7"/>
      <c r="B205" s="7"/>
      <c r="C205" s="55"/>
      <c r="D205" s="7"/>
      <c r="E205" s="55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20"/>
      <c r="U205" s="120"/>
      <c r="V205" s="239"/>
      <c r="W205" s="120"/>
      <c r="X205" s="239"/>
      <c r="Y205" s="120"/>
      <c r="Z205" s="120"/>
      <c r="AA205" s="120"/>
      <c r="AB205" s="120"/>
      <c r="AC205" s="120"/>
      <c r="AD205" s="120"/>
      <c r="AE205" s="120"/>
      <c r="AF205" s="120"/>
      <c r="AG205" s="120"/>
      <c r="AH205" s="120"/>
      <c r="AI205" s="120"/>
      <c r="AJ205" s="120"/>
      <c r="AK205" s="120"/>
      <c r="AL205" s="120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ht="15.75" x14ac:dyDescent="0.25">
      <c r="A206" s="7"/>
      <c r="B206" s="44"/>
      <c r="C206" s="55"/>
      <c r="D206" s="7"/>
      <c r="E206" s="55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120"/>
      <c r="U206" s="120"/>
      <c r="V206" s="239"/>
      <c r="W206" s="120"/>
      <c r="X206" s="239"/>
      <c r="Y206" s="120"/>
      <c r="Z206" s="120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120"/>
      <c r="AK206" s="120"/>
      <c r="AL206" s="120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ht="15.75" x14ac:dyDescent="0.25">
      <c r="A207" s="7"/>
      <c r="B207" s="44"/>
      <c r="C207" s="55"/>
      <c r="D207" s="7"/>
      <c r="E207" s="55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20"/>
      <c r="U207" s="120"/>
      <c r="V207" s="239"/>
      <c r="W207" s="120"/>
      <c r="X207" s="239"/>
      <c r="Y207" s="120"/>
      <c r="Z207" s="120"/>
      <c r="AA207" s="120"/>
      <c r="AB207" s="120"/>
      <c r="AC207" s="120"/>
      <c r="AD207" s="120"/>
      <c r="AE207" s="120"/>
      <c r="AF207" s="120"/>
      <c r="AG207" s="120"/>
      <c r="AH207" s="120"/>
      <c r="AI207" s="120"/>
      <c r="AJ207" s="120"/>
      <c r="AK207" s="120"/>
      <c r="AL207" s="120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ht="15.75" x14ac:dyDescent="0.25">
      <c r="A208" s="44"/>
      <c r="B208" s="7"/>
      <c r="C208" s="55"/>
      <c r="D208" s="7"/>
      <c r="E208" s="55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120"/>
      <c r="U208" s="120"/>
      <c r="V208" s="239"/>
      <c r="W208" s="120"/>
      <c r="X208" s="239"/>
      <c r="Y208" s="120"/>
      <c r="Z208" s="120"/>
      <c r="AA208" s="120"/>
      <c r="AB208" s="120"/>
      <c r="AC208" s="120"/>
      <c r="AD208" s="120"/>
      <c r="AE208" s="120"/>
      <c r="AF208" s="120"/>
      <c r="AG208" s="120"/>
      <c r="AH208" s="120"/>
      <c r="AI208" s="120"/>
      <c r="AJ208" s="120"/>
      <c r="AK208" s="120"/>
      <c r="AL208" s="120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ht="12.75" x14ac:dyDescent="0.2">
      <c r="A209" s="7"/>
      <c r="B209" s="7"/>
      <c r="C209" s="55"/>
      <c r="D209" s="7"/>
      <c r="E209" s="55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20"/>
      <c r="U209" s="120"/>
      <c r="V209" s="239"/>
      <c r="W209" s="120"/>
      <c r="X209" s="239"/>
      <c r="Y209" s="120"/>
      <c r="Z209" s="120"/>
      <c r="AA209" s="120"/>
      <c r="AB209" s="120"/>
      <c r="AC209" s="120"/>
      <c r="AD209" s="120"/>
      <c r="AE209" s="120"/>
      <c r="AF209" s="120"/>
      <c r="AG209" s="120"/>
      <c r="AH209" s="120"/>
      <c r="AI209" s="120"/>
      <c r="AJ209" s="120"/>
      <c r="AK209" s="120"/>
      <c r="AL209" s="120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ht="12.75" x14ac:dyDescent="0.2">
      <c r="A210" s="7"/>
      <c r="B210" s="7"/>
      <c r="C210" s="55"/>
      <c r="D210" s="7"/>
      <c r="E210" s="55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120"/>
      <c r="U210" s="120"/>
      <c r="V210" s="239"/>
      <c r="W210" s="120"/>
      <c r="X210" s="239"/>
      <c r="Y210" s="120"/>
      <c r="Z210" s="120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120"/>
      <c r="AK210" s="120"/>
      <c r="AL210" s="120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ht="12.75" x14ac:dyDescent="0.2">
      <c r="A211" s="7"/>
      <c r="B211" s="7"/>
      <c r="C211" s="55"/>
      <c r="D211" s="7"/>
      <c r="E211" s="55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20"/>
      <c r="U211" s="120"/>
      <c r="V211" s="239"/>
      <c r="W211" s="120"/>
      <c r="X211" s="239"/>
      <c r="Y211" s="120"/>
      <c r="Z211" s="120"/>
      <c r="AA211" s="120"/>
      <c r="AB211" s="120"/>
      <c r="AC211" s="120"/>
      <c r="AD211" s="120"/>
      <c r="AE211" s="120"/>
      <c r="AF211" s="120"/>
      <c r="AG211" s="120"/>
      <c r="AH211" s="120"/>
      <c r="AI211" s="120"/>
      <c r="AJ211" s="120"/>
      <c r="AK211" s="120"/>
      <c r="AL211" s="120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ht="12.75" x14ac:dyDescent="0.2">
      <c r="A212" s="7"/>
      <c r="B212" s="7"/>
      <c r="C212" s="55"/>
      <c r="D212" s="7"/>
      <c r="E212" s="55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ht="8.25" customHeight="1" x14ac:dyDescent="0.2">
      <c r="A213" s="7"/>
      <c r="B213" s="7"/>
      <c r="C213" s="55"/>
      <c r="D213" s="7"/>
      <c r="E213" s="55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ht="18" customHeight="1" x14ac:dyDescent="0.2">
      <c r="A214" s="7"/>
      <c r="B214" s="7"/>
      <c r="C214" s="55"/>
      <c r="D214" s="7"/>
      <c r="E214" s="55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ht="12" customHeight="1" x14ac:dyDescent="0.2">
      <c r="A215" s="7"/>
      <c r="B215" s="7"/>
      <c r="C215" s="55"/>
      <c r="D215" s="7"/>
      <c r="E215" s="55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ht="12.75" x14ac:dyDescent="0.2">
      <c r="A216" s="7"/>
      <c r="B216" s="7"/>
      <c r="C216" s="55"/>
      <c r="D216" s="7"/>
      <c r="E216" s="55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ht="15.75" x14ac:dyDescent="0.25">
      <c r="A217" s="1"/>
      <c r="B217" s="44" t="s">
        <v>521</v>
      </c>
      <c r="C217" s="7"/>
      <c r="D217" s="7"/>
      <c r="E217" s="7"/>
      <c r="F217" s="7"/>
      <c r="G217" s="7"/>
      <c r="H217" s="7"/>
      <c r="I217" s="7"/>
      <c r="J217" s="502" t="s">
        <v>234</v>
      </c>
      <c r="K217" s="7"/>
      <c r="L217" s="7"/>
      <c r="M217" s="7"/>
      <c r="N217" s="7"/>
      <c r="O217" s="7"/>
      <c r="P217" s="32"/>
      <c r="Q217" s="7"/>
      <c r="R217" s="1"/>
      <c r="S217" s="7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ht="12.75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25"/>
      <c r="P218" s="7"/>
      <c r="Q218" s="7"/>
      <c r="R218" s="7"/>
      <c r="S218" s="7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ht="12.75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ht="12.75" x14ac:dyDescent="0.2">
      <c r="A220" s="7"/>
      <c r="B220" s="63"/>
      <c r="C220" s="63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ht="12.75" x14ac:dyDescent="0.2">
      <c r="A221" s="50"/>
      <c r="B221" s="450" t="s">
        <v>14</v>
      </c>
      <c r="C221" s="46"/>
      <c r="D221" s="171">
        <v>1</v>
      </c>
      <c r="E221" s="171"/>
      <c r="F221" s="173"/>
      <c r="G221" s="171">
        <v>2</v>
      </c>
      <c r="H221" s="171"/>
      <c r="I221" s="173"/>
      <c r="J221" s="171">
        <v>3</v>
      </c>
      <c r="K221" s="171"/>
      <c r="L221" s="173"/>
      <c r="M221" s="171">
        <v>4</v>
      </c>
      <c r="N221" s="171"/>
      <c r="O221" s="173"/>
      <c r="P221" s="171">
        <v>5</v>
      </c>
      <c r="Q221" s="13"/>
      <c r="R221" s="7"/>
      <c r="S221" s="7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ht="12.75" x14ac:dyDescent="0.2">
      <c r="A222" s="50"/>
      <c r="B222" s="451" t="s">
        <v>1</v>
      </c>
      <c r="C222" s="57" t="s">
        <v>0</v>
      </c>
      <c r="D222" s="93" t="s">
        <v>158</v>
      </c>
      <c r="E222" s="21" t="s">
        <v>0</v>
      </c>
      <c r="F222" s="57" t="s">
        <v>0</v>
      </c>
      <c r="G222" s="93" t="s">
        <v>158</v>
      </c>
      <c r="H222" s="21" t="s">
        <v>0</v>
      </c>
      <c r="I222" s="57" t="s">
        <v>0</v>
      </c>
      <c r="J222" s="93" t="s">
        <v>158</v>
      </c>
      <c r="K222" s="21" t="s">
        <v>0</v>
      </c>
      <c r="L222" s="57" t="s">
        <v>0</v>
      </c>
      <c r="M222" s="93" t="s">
        <v>158</v>
      </c>
      <c r="N222" s="21" t="s">
        <v>0</v>
      </c>
      <c r="O222" s="57" t="s">
        <v>0</v>
      </c>
      <c r="P222" s="93" t="s">
        <v>158</v>
      </c>
      <c r="Q222" s="67" t="s">
        <v>0</v>
      </c>
      <c r="R222" s="7"/>
      <c r="S222" s="7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ht="12.75" x14ac:dyDescent="0.2">
      <c r="A223" s="50"/>
      <c r="B223" s="15">
        <v>100</v>
      </c>
      <c r="C223" s="28">
        <v>0.5</v>
      </c>
      <c r="D223" s="197">
        <f>SUM(Venttiilit!Q6)</f>
        <v>0</v>
      </c>
      <c r="E223" s="108">
        <f>SUM(D223*0.5)</f>
        <v>0</v>
      </c>
      <c r="F223" s="28">
        <v>0.85</v>
      </c>
      <c r="G223" s="197">
        <f>SUM(Venttiilit!Q29)</f>
        <v>0</v>
      </c>
      <c r="H223" s="108">
        <f>SUM(G223*0.85)</f>
        <v>0</v>
      </c>
      <c r="I223" s="28">
        <v>0.6</v>
      </c>
      <c r="J223" s="197">
        <f>SUM(Venttiilit!Q48)</f>
        <v>0</v>
      </c>
      <c r="K223" s="420">
        <f>SUM(J223*0.6)</f>
        <v>0</v>
      </c>
      <c r="L223" s="28">
        <v>0.78</v>
      </c>
      <c r="M223" s="197">
        <f>SUM(Venttiilit!Q71)</f>
        <v>0</v>
      </c>
      <c r="N223" s="420">
        <f>SUM(L223*M223)</f>
        <v>0</v>
      </c>
      <c r="O223" s="28">
        <v>0.3</v>
      </c>
      <c r="P223" s="199">
        <f>SUM(Venttiilit!Q89)</f>
        <v>0</v>
      </c>
      <c r="Q223" s="420">
        <f>SUM(O223*P223)</f>
        <v>0</v>
      </c>
      <c r="R223" s="7"/>
      <c r="S223" s="7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ht="12.75" x14ac:dyDescent="0.2">
      <c r="A224" s="50"/>
      <c r="B224" s="15">
        <v>125</v>
      </c>
      <c r="C224" s="28">
        <v>0.5</v>
      </c>
      <c r="D224" s="197">
        <f>SUM(Venttiilit!Q7)</f>
        <v>0</v>
      </c>
      <c r="E224" s="108">
        <f>SUM(D224*0.5)</f>
        <v>0</v>
      </c>
      <c r="F224" s="28">
        <v>0.91</v>
      </c>
      <c r="G224" s="197">
        <f>SUM(Venttiilit!Q30)</f>
        <v>0</v>
      </c>
      <c r="H224" s="108">
        <f>SUM(G224*0.91)</f>
        <v>0</v>
      </c>
      <c r="I224" s="28">
        <v>0.6</v>
      </c>
      <c r="J224" s="197">
        <f>SUM(Venttiilit!Q49)</f>
        <v>0</v>
      </c>
      <c r="K224" s="421">
        <f>SUM(J224*0.6)</f>
        <v>0</v>
      </c>
      <c r="L224" s="28">
        <v>0.78</v>
      </c>
      <c r="M224" s="197">
        <f>SUM(Venttiilit!O72)</f>
        <v>0</v>
      </c>
      <c r="N224" s="420">
        <f t="shared" ref="N224:N234" si="8">SUM(L224*M224)</f>
        <v>0</v>
      </c>
      <c r="O224" s="28">
        <v>0.3</v>
      </c>
      <c r="P224" s="197">
        <f>SUM(Venttiilit!Q90)</f>
        <v>0</v>
      </c>
      <c r="Q224" s="420">
        <f t="shared" ref="Q224:Q229" si="9">SUM(O224*P224)</f>
        <v>0</v>
      </c>
      <c r="R224" s="7"/>
      <c r="S224" s="7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ht="12.75" x14ac:dyDescent="0.2">
      <c r="A225" s="50"/>
      <c r="B225" s="15">
        <v>160</v>
      </c>
      <c r="C225" s="28">
        <v>0.6</v>
      </c>
      <c r="D225" s="197">
        <f>SUM(Venttiilit!Q8)</f>
        <v>0</v>
      </c>
      <c r="E225" s="108">
        <f>SUM(D225*0.6)</f>
        <v>0</v>
      </c>
      <c r="F225" s="28">
        <v>1</v>
      </c>
      <c r="G225" s="197">
        <f>SUM(Venttiilit!Q31)</f>
        <v>0</v>
      </c>
      <c r="H225" s="108">
        <f>SUM(G225*1)</f>
        <v>0</v>
      </c>
      <c r="I225" s="28">
        <v>0.8</v>
      </c>
      <c r="J225" s="197">
        <f>SUM(Venttiilit!Q50)</f>
        <v>0</v>
      </c>
      <c r="K225" s="421">
        <f>SUM(J225*0.8)</f>
        <v>0</v>
      </c>
      <c r="L225" s="28">
        <v>1.04</v>
      </c>
      <c r="M225" s="197">
        <f>SUM(Venttiilit!Q73)</f>
        <v>0</v>
      </c>
      <c r="N225" s="420">
        <f t="shared" si="8"/>
        <v>0</v>
      </c>
      <c r="O225" s="28">
        <v>0.32</v>
      </c>
      <c r="P225" s="197">
        <f>SUM(Venttiilit!Q91)</f>
        <v>0</v>
      </c>
      <c r="Q225" s="420">
        <f t="shared" si="9"/>
        <v>0</v>
      </c>
      <c r="R225" s="7"/>
      <c r="S225" s="7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ht="12.75" x14ac:dyDescent="0.2">
      <c r="A226" s="50"/>
      <c r="B226" s="15">
        <v>200</v>
      </c>
      <c r="C226" s="28">
        <v>0.6</v>
      </c>
      <c r="D226" s="197">
        <f>SUM(Venttiilit!Q9)</f>
        <v>0</v>
      </c>
      <c r="E226" s="108">
        <f>SUM(D226*0.6)</f>
        <v>0</v>
      </c>
      <c r="F226" s="28">
        <v>1.05</v>
      </c>
      <c r="G226" s="197">
        <f>SUM(Venttiilit!Q32)</f>
        <v>0</v>
      </c>
      <c r="H226" s="108">
        <f>SUM(G226*1.05)</f>
        <v>0</v>
      </c>
      <c r="I226" s="28">
        <v>0.8</v>
      </c>
      <c r="J226" s="197">
        <f>SUM(Venttiilit!Q51)</f>
        <v>0</v>
      </c>
      <c r="K226" s="421">
        <f>SUM(J226*0.8)</f>
        <v>0</v>
      </c>
      <c r="L226" s="28">
        <v>1.04</v>
      </c>
      <c r="M226" s="197">
        <f>SUM(Venttiilit!Q74)</f>
        <v>0</v>
      </c>
      <c r="N226" s="420">
        <f t="shared" si="8"/>
        <v>0</v>
      </c>
      <c r="O226" s="28">
        <v>0.34</v>
      </c>
      <c r="P226" s="197">
        <f>SUM(Venttiilit!Q92)</f>
        <v>0</v>
      </c>
      <c r="Q226" s="420">
        <f t="shared" si="9"/>
        <v>0</v>
      </c>
      <c r="R226" s="7"/>
      <c r="S226" s="7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ht="12.75" x14ac:dyDescent="0.2">
      <c r="A227" s="50"/>
      <c r="B227" s="15">
        <v>250</v>
      </c>
      <c r="C227" s="28">
        <v>0.6</v>
      </c>
      <c r="D227" s="197">
        <f>SUM(Venttiilit!Q10)</f>
        <v>0</v>
      </c>
      <c r="E227" s="108">
        <f>SUM(D227*0.6)</f>
        <v>0</v>
      </c>
      <c r="F227" s="28">
        <v>1.1399999999999999</v>
      </c>
      <c r="G227" s="197">
        <f>SUM(Venttiilit!Q33)</f>
        <v>0</v>
      </c>
      <c r="H227" s="108">
        <f>SUM(G227*1.14)</f>
        <v>0</v>
      </c>
      <c r="I227" s="28">
        <v>0.8</v>
      </c>
      <c r="J227" s="197">
        <f>SUM(Venttiilit!Q52)</f>
        <v>0</v>
      </c>
      <c r="K227" s="422">
        <f>SUM(J227*0.8)</f>
        <v>0</v>
      </c>
      <c r="L227" s="28">
        <v>1.04</v>
      </c>
      <c r="M227" s="197">
        <f>SUM(Venttiilit!Q75)</f>
        <v>0</v>
      </c>
      <c r="N227" s="420">
        <f t="shared" si="8"/>
        <v>0</v>
      </c>
      <c r="O227" s="28">
        <v>0.38</v>
      </c>
      <c r="P227" s="197">
        <f>SUM(Venttiilit!Q93)</f>
        <v>0</v>
      </c>
      <c r="Q227" s="420">
        <f t="shared" si="9"/>
        <v>0</v>
      </c>
      <c r="R227" s="7"/>
      <c r="S227" s="7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ht="12.75" x14ac:dyDescent="0.2">
      <c r="A228" s="50"/>
      <c r="B228" s="15">
        <v>315</v>
      </c>
      <c r="C228" s="28">
        <v>0.6</v>
      </c>
      <c r="D228" s="197">
        <f>SUM(Venttiilit!Q11)</f>
        <v>0</v>
      </c>
      <c r="E228" s="108">
        <f>SUM(D228*0.6)</f>
        <v>0</v>
      </c>
      <c r="F228" s="28">
        <v>1.48</v>
      </c>
      <c r="G228" s="197">
        <f>SUM(Venttiilit!Q34)</f>
        <v>0</v>
      </c>
      <c r="H228" s="108">
        <f>SUM(G228*1.48)</f>
        <v>0</v>
      </c>
      <c r="I228" s="28">
        <v>0.95</v>
      </c>
      <c r="J228" s="197">
        <f>SUM(Venttiilit!Q53)</f>
        <v>0</v>
      </c>
      <c r="K228" s="422">
        <f>SUM(J228*0.95)</f>
        <v>0</v>
      </c>
      <c r="L228" s="28">
        <v>1.5</v>
      </c>
      <c r="M228" s="197">
        <f>SUM(Venttiilit!Q76)</f>
        <v>0</v>
      </c>
      <c r="N228" s="420">
        <f t="shared" si="8"/>
        <v>0</v>
      </c>
      <c r="O228" s="28">
        <v>0.43</v>
      </c>
      <c r="P228" s="197">
        <f>SUM(Venttiilit!Q94)</f>
        <v>0</v>
      </c>
      <c r="Q228" s="420">
        <f t="shared" si="9"/>
        <v>0</v>
      </c>
      <c r="R228" s="7"/>
      <c r="S228" s="7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ht="12.75" x14ac:dyDescent="0.2">
      <c r="A229" s="50"/>
      <c r="B229" s="15">
        <v>400</v>
      </c>
      <c r="C229" s="28">
        <v>0.73</v>
      </c>
      <c r="D229" s="197">
        <f>SUM(Venttiilit!Q12)</f>
        <v>0</v>
      </c>
      <c r="E229" s="108">
        <f>SUM(D229*0.73)</f>
        <v>0</v>
      </c>
      <c r="F229" s="28">
        <v>1.7</v>
      </c>
      <c r="G229" s="197">
        <f>SUM(Venttiilit!Q35)</f>
        <v>0</v>
      </c>
      <c r="H229" s="108">
        <f>SUM(G229*1.7)</f>
        <v>0</v>
      </c>
      <c r="I229" s="28">
        <v>1.1000000000000001</v>
      </c>
      <c r="J229" s="197">
        <f>SUM(Venttiilit!Q54)</f>
        <v>0</v>
      </c>
      <c r="K229" s="422">
        <f>SUM(J229*1.1)</f>
        <v>0</v>
      </c>
      <c r="L229" s="28">
        <v>1.7</v>
      </c>
      <c r="M229" s="197">
        <f>SUM(Venttiilit!Q77)</f>
        <v>0</v>
      </c>
      <c r="N229" s="420">
        <f t="shared" si="8"/>
        <v>0</v>
      </c>
      <c r="O229" s="28">
        <v>0.5</v>
      </c>
      <c r="P229" s="438">
        <f>SUM(Venttiilit!Q95)</f>
        <v>0</v>
      </c>
      <c r="Q229" s="420">
        <f t="shared" si="9"/>
        <v>0</v>
      </c>
      <c r="R229" s="7"/>
      <c r="S229" s="7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ht="13.5" thickBot="1" x14ac:dyDescent="0.25">
      <c r="A230" s="50"/>
      <c r="B230" s="15">
        <v>500</v>
      </c>
      <c r="C230" s="28">
        <v>0.98</v>
      </c>
      <c r="D230" s="197">
        <f>SUM(Venttiilit!Q13)</f>
        <v>0</v>
      </c>
      <c r="E230" s="108">
        <f>SUM(D230*0.98)</f>
        <v>0</v>
      </c>
      <c r="F230" s="28">
        <v>1.93</v>
      </c>
      <c r="G230" s="197">
        <f>SUM(Venttiilit!Q36)</f>
        <v>0</v>
      </c>
      <c r="H230" s="108">
        <f>SUM(G230*1.93)</f>
        <v>0</v>
      </c>
      <c r="I230" s="28">
        <v>1.28</v>
      </c>
      <c r="J230" s="197">
        <f>SUM(Venttiilit!Q55)</f>
        <v>0</v>
      </c>
      <c r="K230" s="422">
        <f>SUM(J230*1.28)</f>
        <v>0</v>
      </c>
      <c r="L230" s="28">
        <v>1.9</v>
      </c>
      <c r="M230" s="197">
        <f>SUM(Venttiilit!Q78)</f>
        <v>0</v>
      </c>
      <c r="N230" s="420">
        <f t="shared" si="8"/>
        <v>0</v>
      </c>
      <c r="O230" s="430"/>
      <c r="P230" s="433" t="s">
        <v>0</v>
      </c>
      <c r="Q230" s="758">
        <f>SUM(Q223:Q229)</f>
        <v>0</v>
      </c>
      <c r="R230" s="7"/>
      <c r="S230" s="7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ht="12.75" x14ac:dyDescent="0.2">
      <c r="A231" s="50"/>
      <c r="B231" s="15">
        <v>630</v>
      </c>
      <c r="C231" s="28">
        <v>1.25</v>
      </c>
      <c r="D231" s="197">
        <f>SUM(Venttiilit!Q14)</f>
        <v>0</v>
      </c>
      <c r="E231" s="108">
        <f>SUM(D231*1.25)</f>
        <v>0</v>
      </c>
      <c r="F231" s="28">
        <v>2.38</v>
      </c>
      <c r="G231" s="197">
        <f>SUM(Venttiilit!Q37)</f>
        <v>0</v>
      </c>
      <c r="H231" s="108">
        <f>SUM(G231*2.38)</f>
        <v>0</v>
      </c>
      <c r="I231" s="28">
        <v>1.6</v>
      </c>
      <c r="J231" s="197">
        <f>SUM(Venttiilit!Q56)</f>
        <v>0</v>
      </c>
      <c r="K231" s="422">
        <f>SUM(J231*1.6)</f>
        <v>0</v>
      </c>
      <c r="L231" s="28">
        <v>2.5</v>
      </c>
      <c r="M231" s="197">
        <f>SUM(Venttiilit!Q79)</f>
        <v>0</v>
      </c>
      <c r="N231" s="420">
        <f t="shared" si="8"/>
        <v>0</v>
      </c>
      <c r="O231" s="431"/>
      <c r="P231" s="432" t="s">
        <v>67</v>
      </c>
      <c r="Q231" s="236"/>
      <c r="R231" s="7"/>
      <c r="S231" s="7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ht="12.75" x14ac:dyDescent="0.2">
      <c r="A232" s="50"/>
      <c r="B232" s="15">
        <v>800</v>
      </c>
      <c r="C232" s="28">
        <v>1.43</v>
      </c>
      <c r="D232" s="197">
        <f>SUM(Venttiilit!Q15)</f>
        <v>0</v>
      </c>
      <c r="E232" s="108">
        <f>SUM(D232*1.43)</f>
        <v>0</v>
      </c>
      <c r="F232" s="27"/>
      <c r="G232" s="64"/>
      <c r="H232" s="64"/>
      <c r="I232" s="28">
        <v>1.88</v>
      </c>
      <c r="J232" s="197">
        <f>SUM(Venttiilit!Q57)</f>
        <v>0</v>
      </c>
      <c r="K232" s="422">
        <f>SUM(J232*1.88)</f>
        <v>0</v>
      </c>
      <c r="L232" s="28">
        <v>3.2</v>
      </c>
      <c r="M232" s="197">
        <f>SUM(Venttiilit!Q80)</f>
        <v>0</v>
      </c>
      <c r="N232" s="420">
        <f t="shared" si="8"/>
        <v>0</v>
      </c>
      <c r="R232" s="7"/>
      <c r="S232" s="7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ht="12.75" x14ac:dyDescent="0.2">
      <c r="A233" s="50"/>
      <c r="B233" s="15">
        <v>1000</v>
      </c>
      <c r="C233" s="28">
        <v>1.76</v>
      </c>
      <c r="D233" s="197">
        <f>SUM(Venttiilit!Q16)</f>
        <v>0</v>
      </c>
      <c r="E233" s="108">
        <f>SUM(D233*1.76)</f>
        <v>0</v>
      </c>
      <c r="F233" s="27"/>
      <c r="G233" s="64"/>
      <c r="H233" s="64"/>
      <c r="I233" s="28">
        <v>2.23</v>
      </c>
      <c r="J233" s="197">
        <f>SUM(Venttiilit!Q58)</f>
        <v>0</v>
      </c>
      <c r="K233" s="422">
        <f>SUM(J233*2.23)</f>
        <v>0</v>
      </c>
      <c r="L233" s="28">
        <v>3.6</v>
      </c>
      <c r="M233" s="197">
        <f>SUM(Venttiilit!Q81)</f>
        <v>0</v>
      </c>
      <c r="N233" s="420">
        <f t="shared" si="8"/>
        <v>0</v>
      </c>
      <c r="R233" s="7"/>
      <c r="S233" s="7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ht="12.75" x14ac:dyDescent="0.2">
      <c r="A234" s="50"/>
      <c r="B234" s="15">
        <v>1250</v>
      </c>
      <c r="C234" s="28">
        <v>2.16</v>
      </c>
      <c r="D234" s="197">
        <f>SUM(Venttiilit!Q17)</f>
        <v>0</v>
      </c>
      <c r="E234" s="108">
        <f>SUM(D234*2.16)</f>
        <v>0</v>
      </c>
      <c r="F234" s="27"/>
      <c r="G234" s="64"/>
      <c r="H234" s="64"/>
      <c r="I234" s="28">
        <v>2.57</v>
      </c>
      <c r="J234" s="197">
        <f>SUM(Venttiilit!Q59)</f>
        <v>0</v>
      </c>
      <c r="K234" s="422">
        <f>SUM(J234*2.57)</f>
        <v>0</v>
      </c>
      <c r="L234" s="28">
        <v>4</v>
      </c>
      <c r="M234" s="197">
        <f>SUM(Venttiilit!Q82)</f>
        <v>0</v>
      </c>
      <c r="N234" s="420">
        <f t="shared" si="8"/>
        <v>0</v>
      </c>
      <c r="R234" s="7"/>
      <c r="S234" s="7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ht="12.75" x14ac:dyDescent="0.2">
      <c r="A235" s="50"/>
      <c r="B235" s="15">
        <v>1400</v>
      </c>
      <c r="C235" s="28">
        <v>2.5499999999999998</v>
      </c>
      <c r="D235" s="197">
        <f>SUM(Venttiilit!Q18)</f>
        <v>0</v>
      </c>
      <c r="E235" s="108">
        <f>SUM(D235*2.55)</f>
        <v>0</v>
      </c>
      <c r="F235" s="27"/>
      <c r="G235" s="64"/>
      <c r="H235" s="64"/>
      <c r="I235" s="28">
        <v>2.94</v>
      </c>
      <c r="J235" s="197">
        <f>SUM(Venttiilit!Q60)</f>
        <v>0</v>
      </c>
      <c r="K235" s="422">
        <f>SUM(J235*2.94)</f>
        <v>0</v>
      </c>
      <c r="L235" s="27"/>
      <c r="M235" s="192"/>
      <c r="N235" s="193"/>
      <c r="R235" s="7"/>
      <c r="S235" s="7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ht="12.75" x14ac:dyDescent="0.2">
      <c r="A236" s="50"/>
      <c r="B236" s="15">
        <v>1600</v>
      </c>
      <c r="C236" s="28">
        <v>3.01</v>
      </c>
      <c r="D236" s="197">
        <f>SUM(Venttiilit!Q19)</f>
        <v>0</v>
      </c>
      <c r="E236" s="108">
        <f>SUM(D236*3.01)</f>
        <v>0</v>
      </c>
      <c r="F236" s="27"/>
      <c r="G236" s="64"/>
      <c r="H236" s="64"/>
      <c r="I236" s="28">
        <v>3.31</v>
      </c>
      <c r="J236" s="197">
        <f>SUM(Venttiilit!Q61)</f>
        <v>0</v>
      </c>
      <c r="K236" s="422">
        <f>SUM(J236*3.31)</f>
        <v>0</v>
      </c>
      <c r="L236" s="27"/>
      <c r="M236" s="192"/>
      <c r="N236" s="193"/>
      <c r="R236" s="7"/>
      <c r="S236" s="7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ht="12.75" x14ac:dyDescent="0.2">
      <c r="A237" s="50"/>
      <c r="B237" s="15">
        <v>1800</v>
      </c>
      <c r="C237" s="28">
        <v>3.46</v>
      </c>
      <c r="D237" s="197">
        <f>SUM(Venttiilit!Q20)</f>
        <v>0</v>
      </c>
      <c r="E237" s="108">
        <f>SUM(D237*3.46)</f>
        <v>0</v>
      </c>
      <c r="F237" s="27"/>
      <c r="G237" s="64"/>
      <c r="H237" s="64"/>
      <c r="I237" s="28">
        <v>3.67</v>
      </c>
      <c r="J237" s="197">
        <f>SUM(Venttiilit!Q62)</f>
        <v>0</v>
      </c>
      <c r="K237" s="422">
        <f>SUM(J237*3.67)</f>
        <v>0</v>
      </c>
      <c r="L237" s="27"/>
      <c r="M237" s="192"/>
      <c r="N237" s="193"/>
      <c r="R237" s="7"/>
      <c r="S237" s="7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ht="12.75" x14ac:dyDescent="0.2">
      <c r="A238" s="50"/>
      <c r="B238" s="15">
        <v>2000</v>
      </c>
      <c r="C238" s="15">
        <v>3.97</v>
      </c>
      <c r="D238" s="197">
        <f>SUM(Venttiilit!Q21)</f>
        <v>0</v>
      </c>
      <c r="E238" s="108">
        <f>SUM(D238*3.97)</f>
        <v>0</v>
      </c>
      <c r="F238" s="26"/>
      <c r="G238" s="11"/>
      <c r="H238" s="11"/>
      <c r="I238" s="28">
        <v>4.05</v>
      </c>
      <c r="J238" s="197">
        <f>SUM(Venttiilit!Q63)</f>
        <v>0</v>
      </c>
      <c r="K238" s="422">
        <f>SUM(J238*4.05)</f>
        <v>0</v>
      </c>
      <c r="L238" s="27"/>
      <c r="M238" s="192"/>
      <c r="N238" s="193"/>
      <c r="R238" s="7"/>
      <c r="S238" s="7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ht="12.75" x14ac:dyDescent="0.2">
      <c r="A239" s="50"/>
      <c r="B239" s="15">
        <v>2400</v>
      </c>
      <c r="C239" s="28">
        <v>4.4000000000000004</v>
      </c>
      <c r="D239" s="197">
        <f>SUM(Venttiilit!Q22)</f>
        <v>0</v>
      </c>
      <c r="E239" s="108">
        <f>SUM(D239*4.4)</f>
        <v>0</v>
      </c>
      <c r="F239" s="27"/>
      <c r="G239" s="64"/>
      <c r="H239" s="64"/>
      <c r="I239" s="28">
        <v>4.43</v>
      </c>
      <c r="J239" s="197">
        <f>SUM(Venttiilit!Q64)</f>
        <v>0</v>
      </c>
      <c r="K239" s="422">
        <f>SUM(J239*4.43)</f>
        <v>0</v>
      </c>
      <c r="L239" s="27"/>
      <c r="M239" s="192"/>
      <c r="N239" s="193"/>
      <c r="R239" s="7"/>
      <c r="S239" s="7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ht="13.5" thickBot="1" x14ac:dyDescent="0.25">
      <c r="A240" s="7"/>
      <c r="B240" s="7"/>
      <c r="C240" s="68"/>
      <c r="D240" s="189" t="s">
        <v>0</v>
      </c>
      <c r="E240" s="754">
        <f>SUM(E223:E239)</f>
        <v>0</v>
      </c>
      <c r="F240" s="68"/>
      <c r="G240" s="100" t="s">
        <v>0</v>
      </c>
      <c r="H240" s="754">
        <f>SUM(H223:H231)</f>
        <v>0</v>
      </c>
      <c r="I240" s="68"/>
      <c r="J240" s="189" t="s">
        <v>0</v>
      </c>
      <c r="K240" s="754">
        <f>SUM(K223:K239)</f>
        <v>0</v>
      </c>
      <c r="L240" s="68"/>
      <c r="M240" s="189" t="s">
        <v>0</v>
      </c>
      <c r="N240" s="754">
        <f>SUM(N223:N234)</f>
        <v>0</v>
      </c>
      <c r="O240" s="7"/>
      <c r="R240" s="7"/>
      <c r="S240" s="7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x14ac:dyDescent="0.45">
      <c r="A241" s="7"/>
      <c r="B241" s="7"/>
      <c r="C241" s="68"/>
      <c r="F241" s="100"/>
      <c r="I241" s="100"/>
      <c r="L241" s="100"/>
      <c r="R241" s="7"/>
      <c r="S241" s="7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ht="12.75" x14ac:dyDescent="0.2">
      <c r="A242" s="7"/>
      <c r="B242" s="173"/>
      <c r="C242" s="171">
        <v>6</v>
      </c>
      <c r="D242" s="13"/>
      <c r="E242" s="173"/>
      <c r="F242" s="171">
        <v>7</v>
      </c>
      <c r="G242" s="13"/>
      <c r="H242" s="7"/>
      <c r="I242" s="7"/>
      <c r="J242" s="7"/>
      <c r="K242" s="7"/>
      <c r="L242" s="7"/>
      <c r="M242" s="7"/>
      <c r="N242" s="7"/>
      <c r="R242" s="7"/>
      <c r="S242" s="7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ht="12.75" x14ac:dyDescent="0.2">
      <c r="A243" s="7"/>
      <c r="B243" s="57" t="s">
        <v>0</v>
      </c>
      <c r="C243" s="93" t="s">
        <v>158</v>
      </c>
      <c r="D243" s="67" t="s">
        <v>0</v>
      </c>
      <c r="E243" s="57" t="s">
        <v>0</v>
      </c>
      <c r="F243" s="93" t="s">
        <v>158</v>
      </c>
      <c r="G243" s="67" t="s">
        <v>0</v>
      </c>
      <c r="H243" s="7"/>
      <c r="I243" s="7"/>
      <c r="J243" s="7"/>
      <c r="K243" s="7"/>
      <c r="L243" s="7"/>
      <c r="M243" s="7"/>
      <c r="N243" s="7"/>
      <c r="R243" s="7"/>
      <c r="S243" s="7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ht="12.75" x14ac:dyDescent="0.2">
      <c r="A244" s="7"/>
      <c r="B244" s="28">
        <v>0.9</v>
      </c>
      <c r="C244" s="199">
        <f>SUM(Venttiilit!Q102)</f>
        <v>0</v>
      </c>
      <c r="D244" s="420">
        <f t="shared" ref="D244:D252" si="10">SUM(B244*C244)</f>
        <v>0</v>
      </c>
      <c r="E244" s="28">
        <v>1.2</v>
      </c>
      <c r="F244" s="199">
        <f>SUM(Venttiilit!Q117)</f>
        <v>0</v>
      </c>
      <c r="G244" s="420">
        <f t="shared" ref="G244:G252" si="11">SUM(E244*F244)</f>
        <v>0</v>
      </c>
      <c r="H244" s="7"/>
      <c r="I244" s="69" t="s">
        <v>429</v>
      </c>
      <c r="J244" s="7"/>
      <c r="K244" s="7"/>
      <c r="L244" s="7"/>
      <c r="M244" s="7"/>
      <c r="N244" s="7"/>
      <c r="O244" s="7"/>
      <c r="R244" s="7"/>
      <c r="S244" s="7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ht="12.75" x14ac:dyDescent="0.2">
      <c r="A245" s="7"/>
      <c r="B245" s="28">
        <v>0.9</v>
      </c>
      <c r="C245" s="197">
        <f>SUM(Venttiilit!Q103)</f>
        <v>0</v>
      </c>
      <c r="D245" s="421">
        <f t="shared" si="10"/>
        <v>0</v>
      </c>
      <c r="E245" s="28">
        <v>1.2</v>
      </c>
      <c r="F245" s="199">
        <f>SUM(Venttiilit!Q118)</f>
        <v>0</v>
      </c>
      <c r="G245" s="421">
        <f t="shared" si="11"/>
        <v>0</v>
      </c>
      <c r="H245" s="7"/>
      <c r="I245" s="7" t="s">
        <v>430</v>
      </c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ht="12.75" x14ac:dyDescent="0.2">
      <c r="A246" s="7"/>
      <c r="B246" s="28">
        <v>0.9</v>
      </c>
      <c r="C246" s="197">
        <f>SUM(Venttiilit!Q104)</f>
        <v>0</v>
      </c>
      <c r="D246" s="420">
        <f t="shared" si="10"/>
        <v>0</v>
      </c>
      <c r="E246" s="28">
        <v>1.6</v>
      </c>
      <c r="F246" s="199">
        <f>SUM(Venttiilit!Q119)</f>
        <v>0</v>
      </c>
      <c r="G246" s="420">
        <f t="shared" si="11"/>
        <v>0</v>
      </c>
      <c r="H246" s="7"/>
      <c r="I246" s="91" t="s">
        <v>426</v>
      </c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ht="12.75" x14ac:dyDescent="0.2">
      <c r="A247" s="7"/>
      <c r="B247" s="28">
        <v>1</v>
      </c>
      <c r="C247" s="197">
        <f>SUM(Venttiilit!Q105)</f>
        <v>0</v>
      </c>
      <c r="D247" s="421">
        <f t="shared" si="10"/>
        <v>0</v>
      </c>
      <c r="E247" s="28">
        <v>1.6</v>
      </c>
      <c r="F247" s="199">
        <f>SUM(Venttiilit!Q120)</f>
        <v>0</v>
      </c>
      <c r="G247" s="421">
        <f t="shared" si="11"/>
        <v>0</v>
      </c>
      <c r="H247" s="7"/>
      <c r="I247" s="91" t="s">
        <v>427</v>
      </c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ht="12.75" x14ac:dyDescent="0.2">
      <c r="A248" s="7"/>
      <c r="B248" s="28">
        <v>1</v>
      </c>
      <c r="C248" s="197">
        <f>SUM(Venttiilit!Q106)</f>
        <v>0</v>
      </c>
      <c r="D248" s="420">
        <f t="shared" si="10"/>
        <v>0</v>
      </c>
      <c r="E248" s="28">
        <v>1.6</v>
      </c>
      <c r="F248" s="199">
        <f>SUM(Venttiilit!Q121)</f>
        <v>0</v>
      </c>
      <c r="G248" s="420">
        <f t="shared" si="11"/>
        <v>0</v>
      </c>
      <c r="H248" s="7"/>
      <c r="I248" s="91" t="s">
        <v>431</v>
      </c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ht="12.75" x14ac:dyDescent="0.2">
      <c r="A249" s="7"/>
      <c r="B249" s="28">
        <v>1</v>
      </c>
      <c r="C249" s="197">
        <f>SUM(Venttiilit!Q107)</f>
        <v>0</v>
      </c>
      <c r="D249" s="421">
        <f t="shared" si="10"/>
        <v>0</v>
      </c>
      <c r="E249" s="28">
        <v>1.9</v>
      </c>
      <c r="F249" s="199">
        <f>SUM(Venttiilit!Q122)</f>
        <v>0</v>
      </c>
      <c r="G249" s="421">
        <f t="shared" si="11"/>
        <v>0</v>
      </c>
      <c r="H249" s="7"/>
      <c r="I249" s="91" t="s">
        <v>432</v>
      </c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ht="12.75" x14ac:dyDescent="0.2">
      <c r="A250" s="7"/>
      <c r="B250" s="28">
        <v>1.21</v>
      </c>
      <c r="C250" s="197">
        <f>SUM(Venttiilit!Q108)</f>
        <v>0</v>
      </c>
      <c r="D250" s="420">
        <f t="shared" si="10"/>
        <v>0</v>
      </c>
      <c r="E250" s="28">
        <v>2.2000000000000002</v>
      </c>
      <c r="F250" s="199">
        <f>SUM(Venttiilit!Q123)</f>
        <v>0</v>
      </c>
      <c r="G250" s="420">
        <f t="shared" si="11"/>
        <v>0</v>
      </c>
      <c r="H250" s="7"/>
      <c r="I250" s="91" t="s">
        <v>450</v>
      </c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ht="12.75" x14ac:dyDescent="0.2">
      <c r="A251" s="7"/>
      <c r="B251" s="401">
        <v>1.81</v>
      </c>
      <c r="C251" s="197">
        <f>SUM(Venttiilit!Q109)</f>
        <v>0</v>
      </c>
      <c r="D251" s="421">
        <f t="shared" si="10"/>
        <v>0</v>
      </c>
      <c r="E251" s="401">
        <v>2.56</v>
      </c>
      <c r="F251" s="199">
        <f>SUM(Venttiilit!Q124)</f>
        <v>0</v>
      </c>
      <c r="G251" s="421">
        <f t="shared" si="11"/>
        <v>0</v>
      </c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ht="13.5" thickBot="1" x14ac:dyDescent="0.25">
      <c r="A252" s="7"/>
      <c r="B252" s="15">
        <v>2.42</v>
      </c>
      <c r="C252" s="197">
        <f>SUM(Venttiilit!Q110)</f>
        <v>0</v>
      </c>
      <c r="D252" s="420">
        <f t="shared" si="10"/>
        <v>0</v>
      </c>
      <c r="E252" s="28">
        <v>3.2</v>
      </c>
      <c r="F252" s="199">
        <f>SUM(Venttiilit!Q125)</f>
        <v>0</v>
      </c>
      <c r="G252" s="420">
        <f t="shared" si="11"/>
        <v>0</v>
      </c>
      <c r="H252" s="7"/>
      <c r="I252" s="7"/>
      <c r="J252" s="7"/>
      <c r="K252" s="7"/>
      <c r="L252" s="7"/>
      <c r="M252" s="99"/>
      <c r="N252" s="100"/>
      <c r="O252" s="1"/>
      <c r="P252" s="203" t="s">
        <v>217</v>
      </c>
      <c r="Q252" s="100" t="s">
        <v>0</v>
      </c>
      <c r="R252" s="737">
        <f>SUM(E240+H240+K240+N240+Q230+D253+G253)</f>
        <v>0</v>
      </c>
      <c r="S252" s="7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ht="13.5" thickBot="1" x14ac:dyDescent="0.25">
      <c r="A253" s="7"/>
      <c r="B253" s="7"/>
      <c r="C253" s="100" t="s">
        <v>0</v>
      </c>
      <c r="D253" s="754">
        <f>SUM(D244:D252)</f>
        <v>0</v>
      </c>
      <c r="E253" s="7"/>
      <c r="F253" s="100" t="s">
        <v>0</v>
      </c>
      <c r="G253" s="754">
        <f>SUM(G244:G252)</f>
        <v>0</v>
      </c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ht="6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ht="12.75" x14ac:dyDescent="0.2">
      <c r="A255" s="7"/>
      <c r="B255" s="7"/>
      <c r="C255" s="55"/>
      <c r="D255" s="7"/>
      <c r="E255" s="55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ht="3.75" customHeight="1" x14ac:dyDescent="0.2">
      <c r="A256" s="7"/>
      <c r="B256" s="17"/>
      <c r="C256" s="55"/>
      <c r="D256" s="7"/>
      <c r="E256" s="55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ht="36" customHeight="1" x14ac:dyDescent="0.2">
      <c r="A257" s="7"/>
      <c r="B257" s="17"/>
      <c r="C257" s="55"/>
      <c r="D257" s="7"/>
      <c r="E257" s="55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ht="1.1499999999999999" customHeight="1" x14ac:dyDescent="0.2">
      <c r="A258" s="7"/>
      <c r="B258" s="17"/>
      <c r="C258" s="55"/>
      <c r="D258" s="7"/>
      <c r="E258" s="55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ht="9" customHeight="1" x14ac:dyDescent="0.2">
      <c r="A259" s="206"/>
      <c r="B259" s="210"/>
      <c r="C259" s="220"/>
      <c r="D259" s="206"/>
      <c r="E259" s="220"/>
      <c r="F259" s="206"/>
      <c r="G259" s="206"/>
      <c r="H259" s="206"/>
      <c r="I259" s="206"/>
      <c r="J259" s="206"/>
      <c r="K259" s="206"/>
      <c r="L259" s="206"/>
      <c r="M259" s="206"/>
      <c r="N259" s="206"/>
      <c r="O259" s="206"/>
      <c r="P259" s="206"/>
      <c r="Q259" s="206"/>
      <c r="R259" s="206"/>
      <c r="S259" s="206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ht="14.25" customHeight="1" x14ac:dyDescent="0.2">
      <c r="A260" s="206"/>
      <c r="B260" s="210"/>
      <c r="C260" s="220"/>
      <c r="D260" s="206"/>
      <c r="E260" s="220"/>
      <c r="F260" s="206"/>
      <c r="G260" s="206"/>
      <c r="H260" s="206"/>
      <c r="I260" s="206"/>
      <c r="J260" s="366" t="s">
        <v>234</v>
      </c>
      <c r="K260" s="206"/>
      <c r="L260" s="206"/>
      <c r="M260" s="206"/>
      <c r="N260" s="206"/>
      <c r="O260" s="206"/>
      <c r="P260" s="206"/>
      <c r="Q260" s="206"/>
      <c r="R260" s="206"/>
      <c r="S260" s="206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ht="15.75" x14ac:dyDescent="0.25">
      <c r="A261" s="206"/>
      <c r="B261" s="206"/>
      <c r="C261" s="216" t="s">
        <v>520</v>
      </c>
      <c r="D261" s="206"/>
      <c r="E261" s="206"/>
      <c r="F261" s="206"/>
      <c r="G261" s="217"/>
      <c r="H261" s="206"/>
      <c r="I261" s="206"/>
      <c r="J261" s="206"/>
      <c r="K261" s="206"/>
      <c r="L261" s="206"/>
      <c r="M261" s="206"/>
      <c r="N261" s="206"/>
      <c r="O261" s="206"/>
      <c r="P261" s="206"/>
      <c r="Q261" s="206"/>
      <c r="R261" s="214"/>
      <c r="S261" s="206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ht="12.75" x14ac:dyDescent="0.2">
      <c r="A262" s="206"/>
      <c r="B262" s="206"/>
      <c r="C262" s="206"/>
      <c r="D262" s="206"/>
      <c r="E262" s="206"/>
      <c r="F262" s="206"/>
      <c r="G262" s="206"/>
      <c r="H262" s="206"/>
      <c r="I262" s="206"/>
      <c r="J262" s="206"/>
      <c r="K262" s="206"/>
      <c r="L262" s="223" t="s">
        <v>131</v>
      </c>
      <c r="M262" s="206"/>
      <c r="N262" s="206"/>
      <c r="O262" s="206"/>
      <c r="P262" s="206"/>
      <c r="Q262" s="206"/>
      <c r="R262" s="206"/>
      <c r="S262" s="206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ht="12.75" x14ac:dyDescent="0.2">
      <c r="A263" s="206"/>
      <c r="B263" s="206"/>
      <c r="C263" s="211">
        <v>1</v>
      </c>
      <c r="D263" s="206" t="s">
        <v>452</v>
      </c>
      <c r="E263" s="206"/>
      <c r="F263" s="206"/>
      <c r="G263" s="206"/>
      <c r="H263" s="206"/>
      <c r="I263" s="206"/>
      <c r="J263" s="206"/>
      <c r="K263" s="206"/>
      <c r="L263" s="206" t="s">
        <v>401</v>
      </c>
      <c r="M263" s="206"/>
      <c r="N263" s="206"/>
      <c r="O263" s="206"/>
      <c r="P263" s="206"/>
      <c r="Q263" s="206"/>
      <c r="R263" s="206"/>
      <c r="S263" s="206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ht="12.75" x14ac:dyDescent="0.2">
      <c r="A264" s="206"/>
      <c r="B264" s="206"/>
      <c r="C264" s="211">
        <v>2</v>
      </c>
      <c r="D264" s="206" t="s">
        <v>453</v>
      </c>
      <c r="E264" s="206"/>
      <c r="F264" s="206"/>
      <c r="G264" s="206"/>
      <c r="H264" s="206"/>
      <c r="I264" s="206"/>
      <c r="J264" s="206"/>
      <c r="K264" s="206"/>
      <c r="L264" s="206" t="s">
        <v>402</v>
      </c>
      <c r="M264" s="206"/>
      <c r="N264" s="206"/>
      <c r="O264" s="206"/>
      <c r="P264" s="206"/>
      <c r="Q264" s="206"/>
      <c r="R264" s="206"/>
      <c r="S264" s="206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ht="12.75" x14ac:dyDescent="0.2">
      <c r="A265" s="206"/>
      <c r="B265" s="206"/>
      <c r="C265" s="211"/>
      <c r="D265" s="206"/>
      <c r="E265" s="206"/>
      <c r="F265" s="206"/>
      <c r="G265" s="206"/>
      <c r="H265" s="206"/>
      <c r="I265" s="206"/>
      <c r="J265" s="206"/>
      <c r="K265" s="206"/>
      <c r="L265" s="206"/>
      <c r="M265" s="206"/>
      <c r="N265" s="206"/>
      <c r="O265" s="206"/>
      <c r="P265" s="206"/>
      <c r="Q265" s="206"/>
      <c r="R265" s="206"/>
      <c r="S265" s="206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ht="12.75" x14ac:dyDescent="0.2">
      <c r="A266" s="206"/>
      <c r="B266" s="206"/>
      <c r="C266" s="211"/>
      <c r="D266" s="206"/>
      <c r="E266" s="206"/>
      <c r="F266" s="206"/>
      <c r="G266" s="206"/>
      <c r="H266" s="206"/>
      <c r="I266" s="206"/>
      <c r="J266" s="206"/>
      <c r="K266" s="206"/>
      <c r="L266" s="223"/>
      <c r="M266" s="206"/>
      <c r="N266" s="206"/>
      <c r="O266" s="206"/>
      <c r="P266" s="206"/>
      <c r="Q266" s="206"/>
      <c r="R266" s="206"/>
      <c r="S266" s="206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ht="12.75" x14ac:dyDescent="0.2">
      <c r="A267" s="206"/>
      <c r="B267" s="206"/>
      <c r="C267" s="218" t="s">
        <v>54</v>
      </c>
      <c r="D267" s="205"/>
      <c r="E267" s="221"/>
      <c r="F267" s="225">
        <v>1</v>
      </c>
      <c r="G267" s="207"/>
      <c r="H267" s="213"/>
      <c r="I267" s="225">
        <v>2</v>
      </c>
      <c r="J267" s="208"/>
      <c r="K267" s="206"/>
      <c r="L267" s="206" t="s">
        <v>249</v>
      </c>
      <c r="M267" s="206"/>
      <c r="N267" s="206"/>
      <c r="O267" s="206"/>
      <c r="P267" s="206"/>
      <c r="Q267" s="206"/>
      <c r="R267" s="206"/>
      <c r="S267" s="206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ht="12.75" x14ac:dyDescent="0.2">
      <c r="A268" s="206"/>
      <c r="B268" s="206"/>
      <c r="C268" s="219" t="s">
        <v>42</v>
      </c>
      <c r="D268" s="206"/>
      <c r="E268" s="221" t="s">
        <v>0</v>
      </c>
      <c r="F268" s="213" t="s">
        <v>158</v>
      </c>
      <c r="G268" s="207" t="s">
        <v>0</v>
      </c>
      <c r="H268" s="221" t="s">
        <v>0</v>
      </c>
      <c r="I268" s="213" t="s">
        <v>158</v>
      </c>
      <c r="J268" s="207" t="s">
        <v>0</v>
      </c>
      <c r="K268" s="206"/>
      <c r="L268" s="206"/>
      <c r="M268" s="206"/>
      <c r="N268" s="206"/>
      <c r="O268" s="206"/>
      <c r="P268" s="206"/>
      <c r="Q268" s="206"/>
      <c r="R268" s="206"/>
      <c r="S268" s="206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ht="12.75" x14ac:dyDescent="0.2">
      <c r="A269" s="206"/>
      <c r="B269" s="206"/>
      <c r="C269" s="776" t="s">
        <v>137</v>
      </c>
      <c r="D269" s="776"/>
      <c r="E269" s="212">
        <v>3.8</v>
      </c>
      <c r="F269" s="346">
        <f>SUM(Ilmanvaihtokoneet!Q8)</f>
        <v>0</v>
      </c>
      <c r="G269" s="418">
        <f t="shared" ref="G269:G274" si="12">SUM(E269*F269)</f>
        <v>0</v>
      </c>
      <c r="H269" s="209">
        <v>6.88</v>
      </c>
      <c r="I269" s="345">
        <f>SUM(Ilmanvaihtokoneet!Q20)</f>
        <v>0</v>
      </c>
      <c r="J269" s="419">
        <f t="shared" ref="J269:J274" si="13">SUM(H269*I269)</f>
        <v>0</v>
      </c>
      <c r="K269" s="206"/>
      <c r="L269" s="223" t="s">
        <v>132</v>
      </c>
      <c r="M269" s="206"/>
      <c r="N269" s="206"/>
      <c r="O269" s="206"/>
      <c r="P269" s="206"/>
      <c r="Q269" s="206"/>
      <c r="R269" s="206"/>
      <c r="S269" s="206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ht="12.75" x14ac:dyDescent="0.2">
      <c r="A270" s="206"/>
      <c r="B270" s="206"/>
      <c r="C270" s="779" t="s">
        <v>138</v>
      </c>
      <c r="D270" s="779"/>
      <c r="E270" s="209">
        <v>5.76</v>
      </c>
      <c r="F270" s="346">
        <f>SUM(Ilmanvaihtokoneet!Q9)</f>
        <v>0</v>
      </c>
      <c r="G270" s="418">
        <f t="shared" si="12"/>
        <v>0</v>
      </c>
      <c r="H270" s="209">
        <v>10.23</v>
      </c>
      <c r="I270" s="345">
        <f>SUM(Ilmanvaihtokoneet!Q21)</f>
        <v>0</v>
      </c>
      <c r="J270" s="419">
        <f t="shared" si="13"/>
        <v>0</v>
      </c>
      <c r="K270" s="206"/>
      <c r="L270" s="206" t="s">
        <v>133</v>
      </c>
      <c r="M270" s="206"/>
      <c r="N270" s="206"/>
      <c r="O270" s="206"/>
      <c r="P270" s="206"/>
      <c r="Q270" s="206"/>
      <c r="R270" s="206"/>
      <c r="S270" s="206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ht="12.75" x14ac:dyDescent="0.2">
      <c r="A271" s="206"/>
      <c r="B271" s="206"/>
      <c r="C271" s="776" t="s">
        <v>139</v>
      </c>
      <c r="D271" s="776"/>
      <c r="E271" s="209">
        <v>7.67</v>
      </c>
      <c r="F271" s="346">
        <f>SUM(Ilmanvaihtokoneet!Q10)</f>
        <v>0</v>
      </c>
      <c r="G271" s="418">
        <f t="shared" si="12"/>
        <v>0</v>
      </c>
      <c r="H271" s="209">
        <v>13.74</v>
      </c>
      <c r="I271" s="345">
        <f>SUM(Ilmanvaihtokoneet!Q22)</f>
        <v>0</v>
      </c>
      <c r="J271" s="419">
        <f t="shared" si="13"/>
        <v>0</v>
      </c>
      <c r="K271" s="206"/>
      <c r="L271" s="206" t="s">
        <v>75</v>
      </c>
      <c r="M271" s="206"/>
      <c r="N271" s="206"/>
      <c r="O271" s="206"/>
      <c r="P271" s="206"/>
      <c r="Q271" s="206"/>
      <c r="R271" s="206"/>
      <c r="S271" s="206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ht="12.75" x14ac:dyDescent="0.2">
      <c r="A272" s="206"/>
      <c r="B272" s="206"/>
      <c r="C272" s="776" t="s">
        <v>140</v>
      </c>
      <c r="D272" s="776"/>
      <c r="E272" s="209">
        <v>9.59</v>
      </c>
      <c r="F272" s="346">
        <f>SUM(Ilmanvaihtokoneet!Q11)</f>
        <v>0</v>
      </c>
      <c r="G272" s="418">
        <f t="shared" si="12"/>
        <v>0</v>
      </c>
      <c r="H272" s="209">
        <v>17.260000000000002</v>
      </c>
      <c r="I272" s="345">
        <f>SUM(Ilmanvaihtokoneet!Q23)</f>
        <v>0</v>
      </c>
      <c r="J272" s="419">
        <f t="shared" si="13"/>
        <v>0</v>
      </c>
      <c r="K272" s="206"/>
      <c r="L272" s="206" t="s">
        <v>149</v>
      </c>
      <c r="M272" s="206"/>
      <c r="N272" s="206"/>
      <c r="O272" s="206"/>
      <c r="P272" s="206"/>
      <c r="Q272" s="206"/>
      <c r="R272" s="206"/>
      <c r="S272" s="206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ht="12.75" x14ac:dyDescent="0.2">
      <c r="A273" s="206"/>
      <c r="B273" s="206"/>
      <c r="C273" s="776" t="s">
        <v>142</v>
      </c>
      <c r="D273" s="776"/>
      <c r="E273" s="212">
        <v>11.5</v>
      </c>
      <c r="F273" s="346">
        <f>SUM(Ilmanvaihtokoneet!Q12)</f>
        <v>0</v>
      </c>
      <c r="G273" s="418">
        <f t="shared" si="12"/>
        <v>0</v>
      </c>
      <c r="H273" s="209">
        <v>20.77</v>
      </c>
      <c r="I273" s="345">
        <f>SUM(Ilmanvaihtokoneet!Q24)</f>
        <v>0</v>
      </c>
      <c r="J273" s="419">
        <f t="shared" si="13"/>
        <v>0</v>
      </c>
      <c r="K273" s="206"/>
      <c r="L273" s="206"/>
      <c r="M273" s="206"/>
      <c r="N273" s="206"/>
      <c r="O273" s="206"/>
      <c r="P273" s="206"/>
      <c r="Q273" s="206"/>
      <c r="R273" s="206"/>
      <c r="S273" s="206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ht="12.75" x14ac:dyDescent="0.2">
      <c r="A274" s="206"/>
      <c r="B274" s="206"/>
      <c r="C274" s="776" t="s">
        <v>143</v>
      </c>
      <c r="D274" s="776"/>
      <c r="E274" s="209">
        <v>13.42</v>
      </c>
      <c r="F274" s="346">
        <f>SUM(Ilmanvaihtokoneet!Q13)</f>
        <v>0</v>
      </c>
      <c r="G274" s="418">
        <f t="shared" si="12"/>
        <v>0</v>
      </c>
      <c r="H274" s="209">
        <v>23.97</v>
      </c>
      <c r="I274" s="345">
        <f>SUM(Ilmanvaihtokoneet!Q25)</f>
        <v>0</v>
      </c>
      <c r="J274" s="419">
        <f t="shared" si="13"/>
        <v>0</v>
      </c>
      <c r="K274" s="206"/>
      <c r="L274" s="206"/>
      <c r="M274" s="206"/>
      <c r="N274" s="206"/>
      <c r="O274" s="206"/>
      <c r="P274" s="206"/>
      <c r="Q274" s="206"/>
      <c r="R274" s="206"/>
      <c r="S274" s="206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ht="15.75" customHeight="1" thickBot="1" x14ac:dyDescent="0.25">
      <c r="A275" s="206"/>
      <c r="B275" s="206"/>
      <c r="C275" s="206"/>
      <c r="D275" s="206"/>
      <c r="E275" s="206"/>
      <c r="F275" s="226" t="s">
        <v>0</v>
      </c>
      <c r="G275" s="759">
        <f>SUM(G269:G274)</f>
        <v>0</v>
      </c>
      <c r="H275" s="224"/>
      <c r="I275" s="226" t="s">
        <v>0</v>
      </c>
      <c r="J275" s="759">
        <f>SUM(J269:J274)</f>
        <v>0</v>
      </c>
      <c r="K275" s="206"/>
      <c r="L275" s="206"/>
      <c r="M275" s="206"/>
      <c r="N275" s="206"/>
      <c r="O275" s="206"/>
      <c r="P275" s="206"/>
      <c r="Q275" s="206"/>
      <c r="R275" s="206"/>
      <c r="S275" s="206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ht="12.75" x14ac:dyDescent="0.2">
      <c r="A276" s="206"/>
      <c r="B276" s="206"/>
      <c r="C276" s="206"/>
      <c r="D276" s="206"/>
      <c r="E276" s="206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ht="15.75" x14ac:dyDescent="0.25">
      <c r="A277" s="206"/>
      <c r="B277" s="206"/>
      <c r="C277" s="216" t="s">
        <v>145</v>
      </c>
      <c r="D277" s="206"/>
      <c r="E277" s="206"/>
      <c r="F277" s="206"/>
      <c r="G277" s="206"/>
      <c r="H277" s="206"/>
      <c r="I277" s="206"/>
      <c r="J277" s="206"/>
      <c r="K277" s="206"/>
      <c r="L277" s="206"/>
      <c r="M277" s="206"/>
      <c r="N277" s="206"/>
      <c r="O277" s="206"/>
      <c r="P277" s="206"/>
      <c r="Q277" s="206"/>
      <c r="R277" s="206"/>
      <c r="S277" s="206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ht="12.75" x14ac:dyDescent="0.2">
      <c r="A278" s="206"/>
      <c r="B278" s="206"/>
      <c r="C278" s="206" t="s">
        <v>164</v>
      </c>
      <c r="D278" s="206"/>
      <c r="E278" s="206"/>
      <c r="F278" s="206"/>
      <c r="G278" s="206"/>
      <c r="H278" s="206"/>
      <c r="I278" s="206"/>
      <c r="J278" s="206"/>
      <c r="K278" s="206"/>
      <c r="L278" s="206"/>
      <c r="M278" s="206"/>
      <c r="N278" s="206"/>
      <c r="O278" s="206"/>
      <c r="P278" s="206"/>
      <c r="Q278" s="206"/>
      <c r="R278" s="206"/>
      <c r="S278" s="206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ht="12.75" x14ac:dyDescent="0.2">
      <c r="A279" s="206"/>
      <c r="B279" s="206"/>
      <c r="C279" s="206" t="s">
        <v>165</v>
      </c>
      <c r="D279" s="206"/>
      <c r="E279" s="206"/>
      <c r="F279" s="206"/>
      <c r="G279" s="206"/>
      <c r="H279" s="206"/>
      <c r="I279" s="206"/>
      <c r="J279" s="206"/>
      <c r="K279" s="206"/>
      <c r="L279" s="206"/>
      <c r="M279" s="206"/>
      <c r="N279" s="206"/>
      <c r="O279" s="206"/>
      <c r="P279" s="206"/>
      <c r="Q279" s="206"/>
      <c r="R279" s="206"/>
      <c r="S279" s="206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ht="12.75" x14ac:dyDescent="0.2">
      <c r="A280" s="206"/>
      <c r="B280" s="206"/>
      <c r="C280" s="206"/>
      <c r="D280" s="206"/>
      <c r="E280" s="223"/>
      <c r="F280" s="234" t="s">
        <v>408</v>
      </c>
      <c r="G280" s="211"/>
      <c r="H280" s="211"/>
      <c r="I280" s="211" t="s">
        <v>10</v>
      </c>
      <c r="J280" s="211"/>
      <c r="K280" s="211"/>
      <c r="L280" s="227" t="s">
        <v>11</v>
      </c>
      <c r="M280" s="211"/>
      <c r="N280" s="206"/>
      <c r="O280" s="227" t="s">
        <v>26</v>
      </c>
      <c r="P280" s="206"/>
      <c r="Q280" s="206"/>
      <c r="R280" s="206"/>
      <c r="S280" s="206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ht="12.75" x14ac:dyDescent="0.2">
      <c r="A281" s="206"/>
      <c r="B281" s="222" t="s">
        <v>48</v>
      </c>
      <c r="C281" s="206"/>
      <c r="D281" s="206"/>
      <c r="E281" s="211" t="s">
        <v>0</v>
      </c>
      <c r="F281" s="211" t="s">
        <v>158</v>
      </c>
      <c r="G281" s="211" t="s">
        <v>0</v>
      </c>
      <c r="H281" s="211" t="s">
        <v>0</v>
      </c>
      <c r="I281" s="211" t="s">
        <v>158</v>
      </c>
      <c r="J281" s="211" t="s">
        <v>0</v>
      </c>
      <c r="K281" s="211" t="s">
        <v>0</v>
      </c>
      <c r="L281" s="211" t="s">
        <v>158</v>
      </c>
      <c r="M281" s="211" t="s">
        <v>0</v>
      </c>
      <c r="N281" s="227" t="s">
        <v>0</v>
      </c>
      <c r="O281" s="227" t="s">
        <v>158</v>
      </c>
      <c r="P281" s="227" t="s">
        <v>0</v>
      </c>
      <c r="Q281" s="227"/>
      <c r="R281" s="227"/>
      <c r="S281" s="206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ht="12.75" x14ac:dyDescent="0.2">
      <c r="A282" s="452"/>
      <c r="B282" s="207">
        <v>1</v>
      </c>
      <c r="C282" s="806" t="s">
        <v>433</v>
      </c>
      <c r="D282" s="807"/>
      <c r="E282" s="212">
        <v>1.1100000000000001</v>
      </c>
      <c r="F282" s="360">
        <f>SUM(Ilmanvaihtokoneet!G34)</f>
        <v>0</v>
      </c>
      <c r="G282" s="419">
        <f t="shared" ref="G282:G287" si="14">SUM(E282*F282)</f>
        <v>0</v>
      </c>
      <c r="H282" s="232">
        <v>1.41</v>
      </c>
      <c r="I282" s="360">
        <f>SUM(Ilmanvaihtokoneet!O34)</f>
        <v>0</v>
      </c>
      <c r="J282" s="419">
        <f t="shared" ref="J282:J287" si="15">SUM(H282*I282)</f>
        <v>0</v>
      </c>
      <c r="K282" s="233">
        <v>1.66</v>
      </c>
      <c r="L282" s="360">
        <f>SUM(Ilmanvaihtokoneet!G45)</f>
        <v>0</v>
      </c>
      <c r="M282" s="419">
        <f t="shared" ref="M282:M287" si="16">SUM(K282*L282)</f>
        <v>0</v>
      </c>
      <c r="N282" s="212">
        <v>1.66</v>
      </c>
      <c r="O282" s="360">
        <f>SUM(Ilmanvaihtokoneet!O45)</f>
        <v>0</v>
      </c>
      <c r="P282" s="419">
        <f t="shared" ref="P282:P287" si="17">SUM(N282*O282)</f>
        <v>0</v>
      </c>
      <c r="Q282" s="206"/>
      <c r="R282" s="206"/>
      <c r="S282" s="206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ht="12.75" x14ac:dyDescent="0.2">
      <c r="A283" s="452"/>
      <c r="B283" s="440">
        <v>2</v>
      </c>
      <c r="C283" s="784" t="s">
        <v>434</v>
      </c>
      <c r="D283" s="785"/>
      <c r="E283" s="212">
        <v>1.32</v>
      </c>
      <c r="F283" s="360">
        <f>SUM(Ilmanvaihtokoneet!G35)</f>
        <v>0</v>
      </c>
      <c r="G283" s="419">
        <f t="shared" si="14"/>
        <v>0</v>
      </c>
      <c r="H283" s="232">
        <v>1.69</v>
      </c>
      <c r="I283" s="360">
        <f>SUM(Ilmanvaihtokoneet!O35)</f>
        <v>0</v>
      </c>
      <c r="J283" s="419">
        <f t="shared" si="15"/>
        <v>0</v>
      </c>
      <c r="K283" s="212">
        <v>1.96</v>
      </c>
      <c r="L283" s="360">
        <f>SUM(Ilmanvaihtokoneet!G46)</f>
        <v>0</v>
      </c>
      <c r="M283" s="419">
        <f t="shared" si="16"/>
        <v>0</v>
      </c>
      <c r="N283" s="212">
        <v>1.96</v>
      </c>
      <c r="O283" s="360">
        <f>SUM(Ilmanvaihtokoneet!O46)</f>
        <v>0</v>
      </c>
      <c r="P283" s="419">
        <f t="shared" si="17"/>
        <v>0</v>
      </c>
      <c r="Q283" s="206"/>
      <c r="R283" s="206"/>
      <c r="S283" s="206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ht="12.75" x14ac:dyDescent="0.2">
      <c r="A284" s="452"/>
      <c r="B284" s="440">
        <v>3</v>
      </c>
      <c r="C284" s="784" t="s">
        <v>435</v>
      </c>
      <c r="D284" s="785"/>
      <c r="E284" s="230">
        <v>2.04</v>
      </c>
      <c r="F284" s="360">
        <f>SUM(Ilmanvaihtokoneet!G36)</f>
        <v>0</v>
      </c>
      <c r="G284" s="419">
        <f t="shared" si="14"/>
        <v>0</v>
      </c>
      <c r="H284" s="232">
        <v>2.69</v>
      </c>
      <c r="I284" s="360">
        <f>SUM(Ilmanvaihtokoneet!O36)</f>
        <v>0</v>
      </c>
      <c r="J284" s="419">
        <f t="shared" si="15"/>
        <v>0</v>
      </c>
      <c r="K284" s="212">
        <v>2.95</v>
      </c>
      <c r="L284" s="360">
        <f>SUM(Ilmanvaihtokoneet!G47)</f>
        <v>0</v>
      </c>
      <c r="M284" s="419">
        <f t="shared" si="16"/>
        <v>0</v>
      </c>
      <c r="N284" s="212">
        <v>2.95</v>
      </c>
      <c r="O284" s="360">
        <f>SUM(Ilmanvaihtokoneet!O47)</f>
        <v>0</v>
      </c>
      <c r="P284" s="419">
        <f t="shared" si="17"/>
        <v>0</v>
      </c>
      <c r="Q284" s="206"/>
      <c r="R284" s="206"/>
      <c r="S284" s="206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ht="12.75" x14ac:dyDescent="0.2">
      <c r="A285" s="452"/>
      <c r="B285" s="440">
        <v>4</v>
      </c>
      <c r="C285" s="784" t="s">
        <v>436</v>
      </c>
      <c r="D285" s="785"/>
      <c r="E285" s="230">
        <v>2.36</v>
      </c>
      <c r="F285" s="360">
        <f>SUM(Ilmanvaihtokoneet!G37)</f>
        <v>0</v>
      </c>
      <c r="G285" s="419">
        <f t="shared" si="14"/>
        <v>0</v>
      </c>
      <c r="H285" s="232">
        <v>3.06</v>
      </c>
      <c r="I285" s="360">
        <f>SUM(Ilmanvaihtokoneet!O37)</f>
        <v>0</v>
      </c>
      <c r="J285" s="419">
        <f t="shared" si="15"/>
        <v>0</v>
      </c>
      <c r="K285" s="212">
        <v>3.35</v>
      </c>
      <c r="L285" s="360">
        <f>SUM(Ilmanvaihtokoneet!G48)</f>
        <v>0</v>
      </c>
      <c r="M285" s="419">
        <f t="shared" si="16"/>
        <v>0</v>
      </c>
      <c r="N285" s="212">
        <v>3.35</v>
      </c>
      <c r="O285" s="360">
        <f>SUM(Ilmanvaihtokoneet!O48)</f>
        <v>0</v>
      </c>
      <c r="P285" s="419">
        <f t="shared" si="17"/>
        <v>0</v>
      </c>
      <c r="Q285" s="206"/>
      <c r="R285" s="206"/>
      <c r="S285" s="206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ht="12.75" x14ac:dyDescent="0.2">
      <c r="A286" s="452"/>
      <c r="B286" s="440">
        <v>5</v>
      </c>
      <c r="C286" s="784" t="s">
        <v>437</v>
      </c>
      <c r="D286" s="785"/>
      <c r="E286" s="212">
        <v>2.68</v>
      </c>
      <c r="F286" s="360">
        <f>SUM(Ilmanvaihtokoneet!G38)</f>
        <v>0</v>
      </c>
      <c r="G286" s="419">
        <f t="shared" si="14"/>
        <v>0</v>
      </c>
      <c r="H286" s="232">
        <v>3.49</v>
      </c>
      <c r="I286" s="360">
        <f>SUM(Ilmanvaihtokoneet!O38)</f>
        <v>0</v>
      </c>
      <c r="J286" s="419">
        <f t="shared" si="15"/>
        <v>0</v>
      </c>
      <c r="K286" s="212">
        <v>3.74</v>
      </c>
      <c r="L286" s="360">
        <f>SUM(Ilmanvaihtokoneet!G49)</f>
        <v>0</v>
      </c>
      <c r="M286" s="419">
        <f t="shared" si="16"/>
        <v>0</v>
      </c>
      <c r="N286" s="212">
        <v>3.74</v>
      </c>
      <c r="O286" s="360">
        <f>SUM(Ilmanvaihtokoneet!O49)</f>
        <v>0</v>
      </c>
      <c r="P286" s="419">
        <f t="shared" si="17"/>
        <v>0</v>
      </c>
      <c r="Q286" s="206"/>
      <c r="R286" s="206"/>
      <c r="S286" s="206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ht="12.75" x14ac:dyDescent="0.2">
      <c r="A287" s="452"/>
      <c r="B287" s="439">
        <v>6</v>
      </c>
      <c r="C287" s="801" t="s">
        <v>141</v>
      </c>
      <c r="D287" s="802"/>
      <c r="E287" s="212">
        <v>3.01</v>
      </c>
      <c r="F287" s="360">
        <f>SUM(Ilmanvaihtokoneet!G39)</f>
        <v>0</v>
      </c>
      <c r="G287" s="419">
        <f t="shared" si="14"/>
        <v>0</v>
      </c>
      <c r="H287" s="232">
        <v>3.94</v>
      </c>
      <c r="I287" s="360">
        <f>SUM(Ilmanvaihtokoneet!O39)</f>
        <v>0</v>
      </c>
      <c r="J287" s="419">
        <f t="shared" si="15"/>
        <v>0</v>
      </c>
      <c r="K287" s="212">
        <v>4.1399999999999997</v>
      </c>
      <c r="L287" s="360">
        <f>SUM(Ilmanvaihtokoneet!G50)</f>
        <v>0</v>
      </c>
      <c r="M287" s="419">
        <f t="shared" si="16"/>
        <v>0</v>
      </c>
      <c r="N287" s="212">
        <v>4.1399999999999997</v>
      </c>
      <c r="O287" s="360">
        <f>SUM(Ilmanvaihtokoneet!O50)</f>
        <v>0</v>
      </c>
      <c r="P287" s="419">
        <f t="shared" si="17"/>
        <v>0</v>
      </c>
      <c r="Q287" s="206"/>
      <c r="R287" s="206"/>
      <c r="S287" s="206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ht="18" customHeight="1" thickBot="1" x14ac:dyDescent="0.25">
      <c r="A288" s="206"/>
      <c r="B288" s="206"/>
      <c r="C288" s="211"/>
      <c r="D288" s="211"/>
      <c r="E288" s="215"/>
      <c r="F288" s="231" t="s">
        <v>0</v>
      </c>
      <c r="G288" s="759">
        <f>SUM(G282:G287)</f>
        <v>0</v>
      </c>
      <c r="H288" s="229"/>
      <c r="I288" s="228" t="s">
        <v>0</v>
      </c>
      <c r="J288" s="759">
        <f>SUM(J282:J287)</f>
        <v>0</v>
      </c>
      <c r="K288" s="229"/>
      <c r="L288" s="228" t="s">
        <v>0</v>
      </c>
      <c r="M288" s="759">
        <f>SUM(M282:M287)</f>
        <v>0</v>
      </c>
      <c r="N288" s="229"/>
      <c r="O288" s="231" t="s">
        <v>0</v>
      </c>
      <c r="P288" s="759">
        <f>SUM(P282:P287)</f>
        <v>0</v>
      </c>
      <c r="Q288" s="206"/>
      <c r="R288" s="206"/>
      <c r="S288" s="206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ht="12.75" x14ac:dyDescent="0.2">
      <c r="A289" s="206"/>
      <c r="B289" s="206"/>
      <c r="C289" s="206"/>
      <c r="D289" s="206"/>
      <c r="E289" s="206"/>
      <c r="F289" s="206"/>
      <c r="G289" s="206"/>
      <c r="H289" s="206"/>
      <c r="I289" s="206"/>
      <c r="J289" s="206"/>
      <c r="K289" s="206"/>
      <c r="L289" s="206"/>
      <c r="M289" s="206"/>
      <c r="N289" s="206"/>
      <c r="O289" s="206"/>
      <c r="P289" s="206"/>
      <c r="Q289" s="206"/>
      <c r="R289" s="206"/>
      <c r="S289" s="206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ht="12.75" x14ac:dyDescent="0.2">
      <c r="A290" s="206"/>
      <c r="B290" s="206"/>
      <c r="C290" s="206"/>
      <c r="D290" s="206"/>
      <c r="E290" s="206"/>
      <c r="F290" s="206"/>
      <c r="G290" s="206"/>
      <c r="H290" s="206"/>
      <c r="I290" s="206"/>
      <c r="J290" s="206"/>
      <c r="K290" s="206"/>
      <c r="L290" s="206"/>
      <c r="M290" s="206"/>
      <c r="N290" s="206"/>
      <c r="O290" s="206"/>
      <c r="P290" s="206"/>
      <c r="Q290" s="206"/>
      <c r="R290" s="206"/>
      <c r="S290" s="206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ht="12.75" x14ac:dyDescent="0.2">
      <c r="A291" s="206"/>
      <c r="B291" s="206"/>
      <c r="C291" s="206"/>
      <c r="D291" s="206"/>
      <c r="E291" s="206"/>
      <c r="F291" s="206"/>
      <c r="G291" s="206"/>
      <c r="H291" s="206"/>
      <c r="I291" s="206"/>
      <c r="J291" s="206"/>
      <c r="K291" s="206"/>
      <c r="L291" s="206"/>
      <c r="M291" s="206"/>
      <c r="N291" s="206"/>
      <c r="O291" s="206"/>
      <c r="P291" s="206"/>
      <c r="Q291" s="206"/>
      <c r="R291" s="206"/>
      <c r="S291" s="206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ht="12.75" x14ac:dyDescent="0.2">
      <c r="A292" s="206"/>
      <c r="B292" s="206"/>
      <c r="C292" s="206"/>
      <c r="D292" s="206"/>
      <c r="E292" s="206"/>
      <c r="F292" s="206"/>
      <c r="G292" s="206"/>
      <c r="H292" s="206"/>
      <c r="I292" s="206"/>
      <c r="J292" s="206"/>
      <c r="K292" s="206"/>
      <c r="L292" s="206"/>
      <c r="M292" s="206"/>
      <c r="N292" s="206"/>
      <c r="O292" s="206"/>
      <c r="P292" s="206"/>
      <c r="Q292" s="206"/>
      <c r="R292" s="206"/>
      <c r="S292" s="206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ht="12.75" x14ac:dyDescent="0.2">
      <c r="A293" s="206"/>
      <c r="B293" s="206"/>
      <c r="C293" s="206"/>
      <c r="D293" s="206"/>
      <c r="E293" s="206"/>
      <c r="F293" s="206"/>
      <c r="G293" s="206"/>
      <c r="H293" s="206"/>
      <c r="I293" s="206"/>
      <c r="J293" s="206"/>
      <c r="K293" s="206"/>
      <c r="L293" s="206"/>
      <c r="M293" s="206"/>
      <c r="N293" s="206"/>
      <c r="O293" s="206"/>
      <c r="P293" s="206"/>
      <c r="Q293" s="206"/>
      <c r="R293" s="206"/>
      <c r="S293" s="206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ht="12.75" x14ac:dyDescent="0.2">
      <c r="A294" s="206"/>
      <c r="B294" s="206"/>
      <c r="C294" s="206"/>
      <c r="D294" s="206"/>
      <c r="E294" s="206"/>
      <c r="F294" s="206"/>
      <c r="G294" s="206"/>
      <c r="H294" s="206"/>
      <c r="I294" s="206"/>
      <c r="J294" s="206"/>
      <c r="K294" s="206"/>
      <c r="L294" s="206"/>
      <c r="M294" s="206"/>
      <c r="N294" s="206"/>
      <c r="O294" s="206"/>
      <c r="P294" s="206"/>
      <c r="Q294" s="206"/>
      <c r="R294" s="206"/>
      <c r="S294" s="206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ht="12.75" x14ac:dyDescent="0.2">
      <c r="A295" s="206"/>
      <c r="B295" s="206"/>
      <c r="C295" s="206"/>
      <c r="D295" s="206"/>
      <c r="E295" s="206"/>
      <c r="F295" s="206"/>
      <c r="G295" s="206"/>
      <c r="H295" s="206"/>
      <c r="I295" s="206"/>
      <c r="J295" s="206"/>
      <c r="K295" s="206"/>
      <c r="L295" s="206"/>
      <c r="M295" s="206"/>
      <c r="N295" s="206"/>
      <c r="O295" s="206"/>
      <c r="P295" s="206"/>
      <c r="Q295" s="206"/>
      <c r="R295" s="206"/>
      <c r="S295" s="206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ht="20.25" customHeight="1" thickBot="1" x14ac:dyDescent="0.25">
      <c r="A296" s="206"/>
      <c r="B296" s="206"/>
      <c r="C296" s="206"/>
      <c r="D296" s="206"/>
      <c r="E296" s="206"/>
      <c r="F296" s="206"/>
      <c r="G296" s="206"/>
      <c r="H296" s="206"/>
      <c r="I296" s="206"/>
      <c r="J296" s="206"/>
      <c r="K296" s="206"/>
      <c r="L296" s="206"/>
      <c r="M296" s="206"/>
      <c r="N296" s="206"/>
      <c r="O296" s="206"/>
      <c r="P296" s="224" t="s">
        <v>220</v>
      </c>
      <c r="Q296" s="224" t="s">
        <v>0</v>
      </c>
      <c r="R296" s="750">
        <f>SUM(G275+J275+G288+J288+M288+P288)</f>
        <v>0</v>
      </c>
      <c r="S296" s="206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ht="6.95" customHeight="1" x14ac:dyDescent="0.2">
      <c r="A297" s="206"/>
      <c r="B297" s="206"/>
      <c r="C297" s="206"/>
      <c r="D297" s="206"/>
      <c r="E297" s="206"/>
      <c r="F297" s="206"/>
      <c r="G297" s="206"/>
      <c r="H297" s="206"/>
      <c r="I297" s="206"/>
      <c r="J297" s="206"/>
      <c r="K297" s="206"/>
      <c r="L297" s="206"/>
      <c r="M297" s="206"/>
      <c r="N297" s="206"/>
      <c r="O297" s="206"/>
      <c r="P297" s="206"/>
      <c r="Q297" s="206"/>
      <c r="R297" s="206"/>
      <c r="S297" s="206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ht="6.95" customHeight="1" x14ac:dyDescent="0.2">
      <c r="A298" s="206"/>
      <c r="B298" s="210"/>
      <c r="C298" s="220"/>
      <c r="D298" s="206"/>
      <c r="E298" s="220"/>
      <c r="F298" s="206"/>
      <c r="G298" s="206"/>
      <c r="H298" s="206"/>
      <c r="I298" s="206"/>
      <c r="J298" s="206"/>
      <c r="K298" s="206"/>
      <c r="L298" s="206"/>
      <c r="M298" s="206"/>
      <c r="N298" s="206"/>
      <c r="O298" s="206"/>
      <c r="P298" s="206"/>
      <c r="Q298" s="206"/>
      <c r="R298" s="206"/>
      <c r="S298" s="206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ht="6.95" customHeight="1" x14ac:dyDescent="0.2">
      <c r="A299" s="206"/>
      <c r="B299" s="210"/>
      <c r="C299" s="220"/>
      <c r="D299" s="206"/>
      <c r="E299" s="220"/>
      <c r="F299" s="206"/>
      <c r="G299" s="206"/>
      <c r="H299" s="206"/>
      <c r="I299" s="206"/>
      <c r="J299" s="206"/>
      <c r="K299" s="206"/>
      <c r="L299" s="206"/>
      <c r="M299" s="206"/>
      <c r="N299" s="206"/>
      <c r="O299" s="206"/>
      <c r="P299" s="206"/>
      <c r="Q299" s="206"/>
      <c r="R299" s="206"/>
      <c r="S299" s="206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ht="6.95" customHeight="1" x14ac:dyDescent="0.2">
      <c r="B300" s="17"/>
      <c r="C300" s="55"/>
      <c r="D300" s="7"/>
      <c r="E300" s="55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  <row r="301" spans="1:52" ht="6.95" customHeight="1" x14ac:dyDescent="0.2">
      <c r="A301" s="7"/>
      <c r="B301" s="17"/>
      <c r="C301" s="55"/>
      <c r="D301" s="7"/>
      <c r="E301" s="55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148"/>
      <c r="U301" s="148"/>
      <c r="V301" s="148"/>
      <c r="W301" s="14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/>
      <c r="AH301" s="148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</row>
    <row r="302" spans="1:52" ht="15.75" x14ac:dyDescent="0.25">
      <c r="A302" s="7"/>
      <c r="B302" s="44" t="s">
        <v>519</v>
      </c>
      <c r="C302" s="44"/>
      <c r="D302" s="7"/>
      <c r="E302" s="45"/>
      <c r="F302" s="7"/>
      <c r="G302" s="7"/>
      <c r="H302" s="7"/>
      <c r="I302" s="7"/>
      <c r="J302" s="367" t="s">
        <v>234</v>
      </c>
      <c r="K302" s="7"/>
      <c r="L302" s="7"/>
      <c r="M302" s="7"/>
      <c r="N302" s="7"/>
      <c r="O302" s="7"/>
      <c r="P302" s="7"/>
      <c r="Q302" s="7"/>
      <c r="R302" s="7"/>
      <c r="S302" s="7"/>
      <c r="T302" s="148"/>
      <c r="U302" s="148"/>
      <c r="V302" s="148"/>
      <c r="W302" s="148"/>
      <c r="X302" s="148"/>
      <c r="Y302" s="148"/>
      <c r="Z302" s="148"/>
      <c r="AA302" s="148"/>
      <c r="AB302" s="148"/>
      <c r="AC302" s="148"/>
      <c r="AD302" s="148"/>
      <c r="AE302" s="148"/>
      <c r="AF302" s="148"/>
      <c r="AG302" s="148"/>
      <c r="AH302" s="148"/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</row>
    <row r="303" spans="1:52" ht="15.75" x14ac:dyDescent="0.25">
      <c r="A303" s="7"/>
      <c r="B303" s="44"/>
      <c r="C303" s="44"/>
      <c r="D303" s="7"/>
      <c r="E303" s="45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148"/>
      <c r="U303" s="148"/>
      <c r="V303" s="148"/>
      <c r="W303" s="148"/>
      <c r="X303" s="148"/>
      <c r="Y303" s="148"/>
      <c r="Z303" s="148"/>
      <c r="AA303" s="148"/>
      <c r="AB303" s="148"/>
      <c r="AC303" s="148"/>
      <c r="AD303" s="148"/>
      <c r="AE303" s="148"/>
      <c r="AF303" s="148"/>
      <c r="AG303" s="148"/>
      <c r="AH303" s="148"/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</row>
    <row r="304" spans="1:52" ht="12.75" x14ac:dyDescent="0.2">
      <c r="A304" s="7"/>
      <c r="B304" s="22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148"/>
      <c r="U304" s="148"/>
      <c r="V304" s="148"/>
      <c r="W304" s="14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/>
      <c r="AH304" s="148"/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</row>
    <row r="305" spans="1:52" ht="12.75" x14ac:dyDescent="0.2">
      <c r="A305" s="50"/>
      <c r="B305" s="11" t="s">
        <v>63</v>
      </c>
      <c r="C305" s="24"/>
      <c r="D305" s="22"/>
      <c r="E305" s="22"/>
      <c r="F305" s="22"/>
      <c r="G305" s="14"/>
      <c r="H305" s="15" t="s">
        <v>50</v>
      </c>
      <c r="I305" s="15" t="s">
        <v>158</v>
      </c>
      <c r="J305" s="15" t="s">
        <v>0</v>
      </c>
      <c r="K305" s="7"/>
      <c r="L305" s="68" t="s">
        <v>67</v>
      </c>
      <c r="O305" s="7"/>
      <c r="P305" s="7"/>
      <c r="Q305" s="7"/>
      <c r="R305" s="7"/>
      <c r="S305" s="7"/>
      <c r="T305" s="148"/>
      <c r="U305" s="148"/>
      <c r="V305" s="148"/>
      <c r="W305" s="148"/>
      <c r="X305" s="148"/>
      <c r="Y305" s="148"/>
      <c r="Z305" s="148"/>
      <c r="AA305" s="148"/>
      <c r="AB305" s="148"/>
      <c r="AC305" s="148"/>
      <c r="AD305" s="148"/>
      <c r="AE305" s="148"/>
      <c r="AF305" s="148"/>
      <c r="AG305" s="148"/>
      <c r="AH305" s="148"/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</row>
    <row r="306" spans="1:52" ht="12.75" x14ac:dyDescent="0.2">
      <c r="A306" s="50"/>
      <c r="B306" s="3" t="s">
        <v>44</v>
      </c>
      <c r="C306" s="3"/>
      <c r="D306" s="3"/>
      <c r="E306" s="3"/>
      <c r="F306" s="3"/>
      <c r="G306" s="13"/>
      <c r="H306" s="15">
        <v>2.2799999999999998</v>
      </c>
      <c r="I306" s="197">
        <f>SUM(Pienkojeet!Q6)</f>
        <v>0</v>
      </c>
      <c r="J306" s="108">
        <f>SUM(I306*2.28)</f>
        <v>0</v>
      </c>
      <c r="K306" s="7"/>
      <c r="M306" s="68" t="s">
        <v>455</v>
      </c>
      <c r="N306" s="7"/>
      <c r="O306" s="7"/>
      <c r="P306" s="7"/>
      <c r="Q306" s="7"/>
      <c r="R306" s="7"/>
      <c r="S306" s="7"/>
      <c r="T306" s="148"/>
      <c r="U306" s="148"/>
      <c r="V306" s="148"/>
      <c r="W306" s="14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/>
      <c r="AH306" s="148"/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</row>
    <row r="307" spans="1:52" ht="12.75" x14ac:dyDescent="0.2">
      <c r="A307" s="50"/>
      <c r="B307" s="47" t="s">
        <v>13</v>
      </c>
      <c r="C307" s="47"/>
      <c r="D307" s="47"/>
      <c r="E307" s="47"/>
      <c r="F307" s="47"/>
      <c r="G307" s="11"/>
      <c r="H307" s="48">
        <v>3.7</v>
      </c>
      <c r="I307" s="197">
        <f>SUM(Pienkojeet!Q7)</f>
        <v>0</v>
      </c>
      <c r="J307" s="108">
        <f>SUM(I307*3.7)</f>
        <v>0</v>
      </c>
      <c r="K307" s="7"/>
      <c r="M307" s="91" t="s">
        <v>456</v>
      </c>
      <c r="N307" s="7"/>
      <c r="O307" s="7"/>
      <c r="P307" s="7"/>
      <c r="Q307" s="7"/>
      <c r="R307" s="7"/>
      <c r="S307" s="7"/>
      <c r="T307" s="148"/>
      <c r="U307" s="148"/>
      <c r="V307" s="148"/>
      <c r="W307" s="14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/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</row>
    <row r="308" spans="1:52" ht="12.75" x14ac:dyDescent="0.2">
      <c r="A308" s="50"/>
      <c r="B308" s="7" t="s">
        <v>39</v>
      </c>
      <c r="C308" s="7"/>
      <c r="D308" s="7"/>
      <c r="E308" s="7"/>
      <c r="F308" s="7"/>
      <c r="G308" s="50"/>
      <c r="H308" s="48">
        <v>3.4</v>
      </c>
      <c r="I308" s="197">
        <f>SUM(Pienkojeet!Q8)</f>
        <v>0</v>
      </c>
      <c r="J308" s="108">
        <f>SUM(I308*3.4)</f>
        <v>0</v>
      </c>
      <c r="K308" s="7"/>
      <c r="M308" s="23"/>
      <c r="N308" s="434" t="s">
        <v>49</v>
      </c>
      <c r="O308" s="399" t="s">
        <v>12</v>
      </c>
      <c r="P308" s="399" t="s">
        <v>158</v>
      </c>
      <c r="Q308" s="399" t="s">
        <v>0</v>
      </c>
      <c r="R308" s="7"/>
      <c r="S308" s="7"/>
      <c r="T308" s="148"/>
      <c r="U308" s="148"/>
      <c r="V308" s="148"/>
      <c r="W308" s="148"/>
      <c r="X308" s="148"/>
      <c r="Y308" s="148"/>
      <c r="Z308" s="148"/>
      <c r="AA308" s="148"/>
      <c r="AB308" s="148"/>
      <c r="AC308" s="148"/>
      <c r="AD308" s="148"/>
      <c r="AE308" s="148"/>
      <c r="AF308" s="148"/>
      <c r="AG308" s="148"/>
      <c r="AH308" s="148"/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</row>
    <row r="309" spans="1:52" ht="12.75" x14ac:dyDescent="0.2">
      <c r="A309" s="50"/>
      <c r="B309" s="503" t="s">
        <v>454</v>
      </c>
      <c r="C309" s="47"/>
      <c r="D309" s="47"/>
      <c r="E309" s="47"/>
      <c r="F309" s="47"/>
      <c r="G309" s="11"/>
      <c r="H309" s="48">
        <v>5</v>
      </c>
      <c r="I309" s="197">
        <f>SUM(Pienkojeet!Q9)</f>
        <v>0</v>
      </c>
      <c r="J309" s="108">
        <f>SUM(I309*5)</f>
        <v>0</v>
      </c>
      <c r="K309" s="7"/>
      <c r="M309" s="399" t="s">
        <v>5</v>
      </c>
      <c r="N309" s="435" t="s">
        <v>403</v>
      </c>
      <c r="O309" s="15">
        <v>6</v>
      </c>
      <c r="P309" s="436">
        <f>SUM(Pienkojeet!Q92)</f>
        <v>0</v>
      </c>
      <c r="Q309" s="15">
        <f>SUM(O309*P309)</f>
        <v>0</v>
      </c>
      <c r="R309" s="7"/>
      <c r="S309" s="7"/>
      <c r="T309" s="148"/>
      <c r="U309" s="148"/>
      <c r="V309" s="148"/>
      <c r="W309" s="148"/>
      <c r="X309" s="148"/>
      <c r="Y309" s="148"/>
      <c r="Z309" s="148"/>
      <c r="AA309" s="148"/>
      <c r="AB309" s="148"/>
      <c r="AC309" s="148"/>
      <c r="AD309" s="148"/>
      <c r="AE309" s="148"/>
      <c r="AF309" s="148"/>
      <c r="AG309" s="148"/>
      <c r="AH309" s="148"/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</row>
    <row r="310" spans="1:52" ht="12.75" x14ac:dyDescent="0.2">
      <c r="A310" s="50"/>
      <c r="B310" s="22" t="s">
        <v>74</v>
      </c>
      <c r="C310" s="22"/>
      <c r="D310" s="22"/>
      <c r="E310" s="22"/>
      <c r="F310" s="22"/>
      <c r="G310" s="14"/>
      <c r="H310" s="48">
        <v>1.99</v>
      </c>
      <c r="I310" s="197">
        <f>SUM(Pienkojeet!Q10)</f>
        <v>0</v>
      </c>
      <c r="J310" s="108">
        <f>SUM(I310*1.99)</f>
        <v>0</v>
      </c>
      <c r="K310" s="7"/>
      <c r="M310" s="399" t="s">
        <v>6</v>
      </c>
      <c r="N310" s="435" t="s">
        <v>404</v>
      </c>
      <c r="O310" s="15">
        <v>8</v>
      </c>
      <c r="P310" s="436">
        <f>SUM(Pienkojeet!Q93)</f>
        <v>0</v>
      </c>
      <c r="Q310" s="15">
        <f>SUM(O310*P310)</f>
        <v>0</v>
      </c>
      <c r="R310" s="7"/>
      <c r="S310" s="7"/>
      <c r="T310" s="148"/>
      <c r="U310" s="148"/>
      <c r="V310" s="148"/>
      <c r="W310" s="148"/>
      <c r="X310" s="148"/>
      <c r="Y310" s="148"/>
      <c r="Z310" s="148"/>
      <c r="AA310" s="148"/>
      <c r="AB310" s="148"/>
      <c r="AC310" s="148"/>
      <c r="AD310" s="148"/>
      <c r="AE310" s="148"/>
      <c r="AF310" s="148"/>
      <c r="AG310" s="148"/>
      <c r="AH310" s="148"/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</row>
    <row r="311" spans="1:52" ht="12.75" x14ac:dyDescent="0.2">
      <c r="A311" s="50"/>
      <c r="B311" s="7" t="s">
        <v>62</v>
      </c>
      <c r="C311" s="46"/>
      <c r="D311" s="3"/>
      <c r="E311" s="3"/>
      <c r="F311" s="51"/>
      <c r="G311" s="13"/>
      <c r="H311" s="29">
        <v>1.92</v>
      </c>
      <c r="I311" s="197">
        <f>SUM(Pienkojeet!Q11)</f>
        <v>0</v>
      </c>
      <c r="J311" s="108">
        <f>SUM(I311*1.92)</f>
        <v>0</v>
      </c>
      <c r="K311" s="7"/>
      <c r="M311" s="7"/>
      <c r="N311" s="7"/>
      <c r="O311" s="7"/>
      <c r="P311" s="7"/>
      <c r="Q311" s="7"/>
      <c r="R311" s="7"/>
      <c r="S311" s="7"/>
      <c r="T311" s="148"/>
      <c r="U311" s="148"/>
      <c r="V311" s="148"/>
      <c r="W311" s="148"/>
      <c r="X311" s="148"/>
      <c r="Y311" s="148"/>
      <c r="Z311" s="148"/>
      <c r="AA311" s="148"/>
      <c r="AB311" s="148"/>
      <c r="AC311" s="148"/>
      <c r="AD311" s="148"/>
      <c r="AE311" s="148"/>
      <c r="AF311" s="148"/>
      <c r="AG311" s="148"/>
      <c r="AH311" s="148"/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</row>
    <row r="312" spans="1:52" ht="13.5" thickBot="1" x14ac:dyDescent="0.25">
      <c r="A312" s="50"/>
      <c r="B312" s="23" t="s">
        <v>41</v>
      </c>
      <c r="C312" s="47"/>
      <c r="D312" s="786" t="s">
        <v>406</v>
      </c>
      <c r="E312" s="786"/>
      <c r="F312" s="804"/>
      <c r="G312" s="805"/>
      <c r="H312" s="53">
        <v>0.48</v>
      </c>
      <c r="I312" s="197">
        <f>SUM(Pienkojeet!Q12)</f>
        <v>0</v>
      </c>
      <c r="J312" s="108">
        <f>SUM(I312*0.48)</f>
        <v>0</v>
      </c>
      <c r="K312" s="7"/>
      <c r="M312" s="7"/>
      <c r="N312" s="7"/>
      <c r="O312" s="7"/>
      <c r="P312" s="100" t="s">
        <v>0</v>
      </c>
      <c r="Q312" s="754">
        <f>SUM(Q309:Q310)</f>
        <v>0</v>
      </c>
      <c r="R312" s="7"/>
      <c r="S312" s="7"/>
      <c r="T312" s="148"/>
      <c r="U312" s="148"/>
      <c r="V312" s="148"/>
      <c r="W312" s="14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/>
      <c r="AH312" s="148"/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</row>
    <row r="313" spans="1:52" ht="12.75" x14ac:dyDescent="0.2">
      <c r="A313" s="50"/>
      <c r="B313" s="23" t="s">
        <v>41</v>
      </c>
      <c r="C313" s="47"/>
      <c r="D313" s="786" t="s">
        <v>407</v>
      </c>
      <c r="E313" s="786"/>
      <c r="F313" s="804"/>
      <c r="G313" s="805"/>
      <c r="H313" s="42">
        <v>0.64</v>
      </c>
      <c r="I313" s="197">
        <f>SUM(Pienkojeet!Q13)</f>
        <v>0</v>
      </c>
      <c r="J313" s="108">
        <f>SUM(I313*0.64)</f>
        <v>0</v>
      </c>
      <c r="K313" s="7"/>
      <c r="O313" s="811" t="s">
        <v>415</v>
      </c>
      <c r="P313" s="811"/>
      <c r="Q313" s="811"/>
      <c r="R313" s="7"/>
      <c r="S313" s="7"/>
      <c r="T313" s="148"/>
      <c r="U313" s="148"/>
      <c r="V313" s="148"/>
      <c r="W313" s="148"/>
      <c r="X313" s="148"/>
      <c r="Y313" s="148"/>
      <c r="Z313" s="148"/>
      <c r="AA313" s="148"/>
      <c r="AB313" s="148"/>
      <c r="AC313" s="148"/>
      <c r="AD313" s="148"/>
      <c r="AE313" s="148"/>
      <c r="AF313" s="148"/>
      <c r="AG313" s="148"/>
      <c r="AH313" s="148"/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</row>
    <row r="314" spans="1:52" ht="12.75" x14ac:dyDescent="0.2">
      <c r="A314" s="50"/>
      <c r="B314" s="464" t="s">
        <v>409</v>
      </c>
      <c r="C314" s="47"/>
      <c r="D314" s="453"/>
      <c r="E314" s="453"/>
      <c r="F314" s="52"/>
      <c r="G314" s="53"/>
      <c r="H314" s="48">
        <v>1.75</v>
      </c>
      <c r="I314" s="197">
        <f>SUM(Pienkojeet!Q14)</f>
        <v>0</v>
      </c>
      <c r="J314" s="108">
        <f>SUM(I314*1.75)</f>
        <v>0</v>
      </c>
      <c r="K314" s="7"/>
      <c r="O314" s="812"/>
      <c r="P314" s="812"/>
      <c r="Q314" s="812"/>
      <c r="R314" s="7"/>
      <c r="S314" s="7"/>
      <c r="T314" s="148"/>
      <c r="U314" s="148"/>
      <c r="V314" s="148"/>
      <c r="W314" s="14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/>
      <c r="AH314" s="148"/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</row>
    <row r="315" spans="1:52" ht="12.75" x14ac:dyDescent="0.2">
      <c r="A315" s="7"/>
      <c r="B315" s="465" t="s">
        <v>410</v>
      </c>
      <c r="C315" s="22"/>
      <c r="D315" s="463"/>
      <c r="E315" s="463"/>
      <c r="F315" s="54"/>
      <c r="G315" s="42"/>
      <c r="H315" s="48">
        <v>2.5</v>
      </c>
      <c r="I315" s="197">
        <f>SUM(Pienkojeet!Q15)</f>
        <v>0</v>
      </c>
      <c r="J315" s="108">
        <f>SUM(I315*2.5)</f>
        <v>0</v>
      </c>
      <c r="K315" s="7"/>
      <c r="O315" s="399" t="s">
        <v>0</v>
      </c>
      <c r="P315" s="399" t="s">
        <v>158</v>
      </c>
      <c r="Q315" s="399" t="s">
        <v>0</v>
      </c>
      <c r="R315" s="7"/>
      <c r="S315" s="7"/>
      <c r="T315" s="148"/>
      <c r="U315" s="148"/>
      <c r="V315" s="148"/>
      <c r="W315" s="14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/>
      <c r="AH315" s="148"/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</row>
    <row r="316" spans="1:52" ht="15.75" customHeight="1" x14ac:dyDescent="0.45">
      <c r="A316" s="7"/>
      <c r="K316" s="68"/>
      <c r="O316" s="501">
        <v>0.25</v>
      </c>
      <c r="P316" s="763">
        <f>SUM(Pienkojeet!Q99)</f>
        <v>0</v>
      </c>
      <c r="Q316" s="764">
        <f>SUM(P316*0.25)</f>
        <v>0</v>
      </c>
      <c r="R316" s="7"/>
      <c r="S316" s="7"/>
      <c r="T316" s="148"/>
      <c r="U316" s="148"/>
      <c r="V316" s="148"/>
      <c r="W316" s="14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/>
      <c r="AH316" s="148"/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</row>
    <row r="317" spans="1:52" ht="12.75" x14ac:dyDescent="0.2">
      <c r="A317" s="7"/>
      <c r="B317" s="7"/>
      <c r="C317" s="7"/>
      <c r="D317" s="7"/>
      <c r="E317" s="7"/>
      <c r="F317" s="7"/>
      <c r="G317" s="7"/>
      <c r="H317" s="7"/>
      <c r="I317" s="190"/>
      <c r="J317" s="187"/>
      <c r="K317" s="7"/>
      <c r="O317" s="10"/>
      <c r="Q317" s="3"/>
      <c r="R317" s="7"/>
      <c r="S317" s="7"/>
      <c r="T317" s="148"/>
      <c r="U317" s="148"/>
      <c r="V317" s="148"/>
      <c r="W317" s="14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/>
      <c r="AH317" s="148"/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</row>
    <row r="318" spans="1:52" ht="13.5" thickBot="1" x14ac:dyDescent="0.25">
      <c r="A318" s="7"/>
      <c r="B318" s="7" t="s">
        <v>47</v>
      </c>
      <c r="C318" s="7"/>
      <c r="D318" s="7"/>
      <c r="E318" s="7"/>
      <c r="F318" s="7"/>
      <c r="G318" s="7"/>
      <c r="H318" s="25"/>
      <c r="I318" s="189" t="s">
        <v>0</v>
      </c>
      <c r="J318" s="754">
        <f>SUM(J306:J315)</f>
        <v>0</v>
      </c>
      <c r="K318" s="7"/>
      <c r="O318" s="7"/>
      <c r="P318" s="470" t="s">
        <v>0</v>
      </c>
      <c r="Q318" s="753">
        <f>SUM(Q316)</f>
        <v>0</v>
      </c>
      <c r="R318" s="7"/>
      <c r="S318" s="7"/>
      <c r="T318" s="148"/>
      <c r="U318" s="148"/>
      <c r="V318" s="148"/>
      <c r="W318" s="14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/>
      <c r="AH318" s="148"/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</row>
    <row r="319" spans="1:52" ht="7.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91"/>
      <c r="K319" s="7"/>
      <c r="R319" s="7"/>
      <c r="S319" s="7"/>
      <c r="T319" s="148"/>
      <c r="U319" s="148"/>
      <c r="V319" s="148"/>
      <c r="W319" s="148"/>
      <c r="X319" s="148"/>
      <c r="Y319" s="148"/>
      <c r="Z319" s="148"/>
      <c r="AA319" s="148"/>
      <c r="AB319" s="148"/>
      <c r="AC319" s="148"/>
      <c r="AD319" s="148"/>
      <c r="AE319" s="148"/>
      <c r="AF319" s="148"/>
      <c r="AG319" s="148"/>
      <c r="AH319" s="148"/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</row>
    <row r="320" spans="1:52" ht="8.2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R320" s="7"/>
      <c r="S320" s="7"/>
      <c r="T320" s="148"/>
      <c r="U320" s="148"/>
      <c r="V320" s="148"/>
      <c r="W320" s="14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/>
      <c r="AH320" s="148"/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</row>
    <row r="321" spans="1:52" ht="12.75" x14ac:dyDescent="0.2">
      <c r="A321" s="7"/>
      <c r="B321" s="7"/>
      <c r="C321" s="68"/>
      <c r="D321" s="68"/>
      <c r="E321" s="68"/>
      <c r="F321" s="7"/>
      <c r="G321" s="7"/>
      <c r="H321" s="7"/>
      <c r="I321" s="7"/>
      <c r="J321" s="7"/>
      <c r="K321" s="7"/>
      <c r="R321" s="7"/>
      <c r="S321" s="7"/>
      <c r="T321" s="148"/>
      <c r="U321" s="148"/>
      <c r="V321" s="148"/>
      <c r="W321" s="148"/>
      <c r="X321" s="148"/>
      <c r="Y321" s="148"/>
      <c r="Z321" s="148"/>
      <c r="AA321" s="148"/>
      <c r="AB321" s="148"/>
      <c r="AC321" s="148"/>
      <c r="AD321" s="148"/>
      <c r="AE321" s="148"/>
      <c r="AF321" s="148"/>
      <c r="AG321" s="148"/>
      <c r="AH321" s="148"/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</row>
    <row r="322" spans="1:52" ht="13.5" thickBot="1" x14ac:dyDescent="0.25">
      <c r="A322" s="7"/>
      <c r="B322" s="68" t="s">
        <v>491</v>
      </c>
      <c r="C322" s="68"/>
      <c r="D322" s="68"/>
      <c r="E322" s="68"/>
      <c r="F322" s="7"/>
      <c r="G322" s="7"/>
      <c r="H322" s="7"/>
      <c r="I322" s="7"/>
      <c r="J322" s="7"/>
      <c r="R322" s="7"/>
      <c r="S322" s="7"/>
      <c r="T322" s="148"/>
      <c r="U322" s="148"/>
      <c r="V322" s="148"/>
      <c r="W322" s="148"/>
      <c r="X322" s="148"/>
      <c r="Y322" s="148"/>
      <c r="Z322" s="148"/>
      <c r="AA322" s="148"/>
      <c r="AB322" s="148"/>
      <c r="AC322" s="148"/>
      <c r="AD322" s="148"/>
      <c r="AE322" s="148"/>
      <c r="AF322" s="148"/>
      <c r="AG322" s="148"/>
      <c r="AH322" s="148"/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</row>
    <row r="323" spans="1:52" ht="12.75" x14ac:dyDescent="0.2">
      <c r="A323" s="7"/>
      <c r="B323" s="68" t="s">
        <v>528</v>
      </c>
      <c r="C323" s="68"/>
      <c r="D323" s="68"/>
      <c r="E323" s="68"/>
      <c r="F323" s="7"/>
      <c r="G323" s="7"/>
      <c r="H323" s="7"/>
      <c r="I323" s="7"/>
      <c r="J323" s="7"/>
      <c r="L323" s="813" t="s">
        <v>482</v>
      </c>
      <c r="M323" s="814"/>
      <c r="N323" s="814"/>
      <c r="O323" s="814"/>
      <c r="P323" s="814"/>
      <c r="Q323" s="814"/>
      <c r="R323" s="815"/>
      <c r="S323" s="7"/>
      <c r="T323" s="148"/>
      <c r="U323" s="148"/>
      <c r="V323" s="148"/>
      <c r="W323" s="14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/>
      <c r="AH323" s="148"/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</row>
    <row r="324" spans="1:52" ht="12.75" customHeight="1" x14ac:dyDescent="0.2">
      <c r="A324" s="7"/>
      <c r="B324" s="91" t="s">
        <v>488</v>
      </c>
      <c r="C324" s="7"/>
      <c r="D324" s="7"/>
      <c r="E324" s="7"/>
      <c r="F324" s="7"/>
      <c r="G324" s="7"/>
      <c r="H324" s="7"/>
      <c r="I324" s="7"/>
      <c r="J324" s="7"/>
      <c r="L324" s="38"/>
      <c r="M324" s="794" t="s">
        <v>484</v>
      </c>
      <c r="N324" s="794"/>
      <c r="O324" s="794"/>
      <c r="P324" s="822" t="s">
        <v>483</v>
      </c>
      <c r="Q324" s="822"/>
      <c r="R324" s="823"/>
      <c r="S324" s="7"/>
      <c r="T324" s="148"/>
      <c r="U324" s="148"/>
      <c r="V324" s="148"/>
      <c r="W324" s="148"/>
      <c r="X324" s="148"/>
      <c r="Y324" s="148"/>
      <c r="Z324" s="148"/>
      <c r="AA324" s="148"/>
      <c r="AB324" s="148"/>
      <c r="AC324" s="148"/>
      <c r="AD324" s="148"/>
      <c r="AE324" s="148"/>
      <c r="AF324" s="148"/>
      <c r="AG324" s="148"/>
      <c r="AH324" s="148"/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</row>
    <row r="325" spans="1:52" ht="12.75" customHeight="1" x14ac:dyDescent="0.2">
      <c r="A325" s="7"/>
      <c r="B325" s="91" t="s">
        <v>489</v>
      </c>
      <c r="C325" s="7"/>
      <c r="D325" s="7"/>
      <c r="E325" s="7"/>
      <c r="F325" s="7"/>
      <c r="G325" s="7"/>
      <c r="H325" s="7"/>
      <c r="I325" s="7"/>
      <c r="J325" s="7"/>
      <c r="L325" s="38"/>
      <c r="M325" s="794"/>
      <c r="N325" s="794"/>
      <c r="O325" s="794"/>
      <c r="P325" s="822"/>
      <c r="Q325" s="822"/>
      <c r="R325" s="823"/>
      <c r="S325" s="7"/>
      <c r="T325" s="148"/>
      <c r="U325" s="148"/>
      <c r="V325" s="148"/>
      <c r="W325" s="148"/>
      <c r="X325" s="148"/>
      <c r="Y325" s="148"/>
      <c r="Z325" s="148"/>
      <c r="AA325" s="148"/>
      <c r="AB325" s="148"/>
      <c r="AC325" s="148"/>
      <c r="AD325" s="148"/>
      <c r="AE325" s="148"/>
      <c r="AF325" s="148"/>
      <c r="AG325" s="148"/>
      <c r="AH325" s="148"/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</row>
    <row r="326" spans="1:52" ht="12" customHeight="1" thickBot="1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L326" s="648" t="s">
        <v>413</v>
      </c>
      <c r="M326" s="16" t="s">
        <v>12</v>
      </c>
      <c r="N326" s="15" t="s">
        <v>158</v>
      </c>
      <c r="O326" s="15" t="s">
        <v>0</v>
      </c>
      <c r="P326" s="16" t="s">
        <v>12</v>
      </c>
      <c r="Q326" s="15" t="s">
        <v>158</v>
      </c>
      <c r="R326" s="649" t="s">
        <v>0</v>
      </c>
      <c r="S326" s="7"/>
      <c r="T326" s="148"/>
      <c r="U326" s="148"/>
      <c r="V326" s="148"/>
      <c r="W326" s="148"/>
      <c r="X326" s="148"/>
      <c r="Y326" s="148"/>
      <c r="Z326" s="148"/>
      <c r="AA326" s="148"/>
      <c r="AB326" s="148"/>
      <c r="AC326" s="148"/>
      <c r="AD326" s="148"/>
      <c r="AE326" s="148"/>
      <c r="AF326" s="148"/>
      <c r="AG326" s="148"/>
      <c r="AH326" s="148"/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</row>
    <row r="327" spans="1:52" ht="14.25" customHeight="1" x14ac:dyDescent="0.2">
      <c r="A327" s="816" t="s">
        <v>494</v>
      </c>
      <c r="B327" s="817"/>
      <c r="C327" s="817"/>
      <c r="D327" s="817"/>
      <c r="E327" s="817"/>
      <c r="F327" s="817"/>
      <c r="G327" s="818"/>
      <c r="H327" s="808" t="s">
        <v>411</v>
      </c>
      <c r="I327" s="809"/>
      <c r="J327" s="809"/>
      <c r="K327" s="809"/>
      <c r="L327" s="650">
        <v>-1500</v>
      </c>
      <c r="M327" s="28">
        <v>1.24</v>
      </c>
      <c r="N327" s="197">
        <f>SUM(Pienkojeet!Q60)</f>
        <v>0</v>
      </c>
      <c r="O327" s="108">
        <f>SUM(N327*M327)</f>
        <v>0</v>
      </c>
      <c r="P327" s="28">
        <v>1.35</v>
      </c>
      <c r="Q327" s="197">
        <f>SUM(Pienkojeet!O76)</f>
        <v>0</v>
      </c>
      <c r="R327" s="651">
        <f>SUM(Q327*P327)</f>
        <v>0</v>
      </c>
      <c r="S327" s="7"/>
      <c r="T327" s="148"/>
      <c r="U327" s="148"/>
      <c r="V327" s="148"/>
      <c r="W327" s="148"/>
      <c r="X327" s="148"/>
      <c r="Y327" s="148"/>
      <c r="Z327" s="148"/>
      <c r="AA327" s="148"/>
      <c r="AB327" s="148"/>
      <c r="AC327" s="148"/>
      <c r="AD327" s="148"/>
      <c r="AE327" s="148"/>
      <c r="AF327" s="148"/>
      <c r="AG327" s="148"/>
      <c r="AH327" s="148"/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</row>
    <row r="328" spans="1:52" ht="12.75" x14ac:dyDescent="0.2">
      <c r="A328" s="834" t="s">
        <v>49</v>
      </c>
      <c r="B328" s="819">
        <v>1</v>
      </c>
      <c r="C328" s="820"/>
      <c r="D328" s="821"/>
      <c r="E328" s="819">
        <v>2</v>
      </c>
      <c r="F328" s="820"/>
      <c r="G328" s="833"/>
      <c r="H328" s="647" t="s">
        <v>413</v>
      </c>
      <c r="I328" s="16" t="s">
        <v>12</v>
      </c>
      <c r="J328" s="15" t="s">
        <v>158</v>
      </c>
      <c r="K328" s="645" t="s">
        <v>0</v>
      </c>
      <c r="L328" s="650">
        <v>-2000</v>
      </c>
      <c r="M328" s="28">
        <v>1.58</v>
      </c>
      <c r="N328" s="197">
        <f>SUM(Pienkojeet!Q61)</f>
        <v>0</v>
      </c>
      <c r="O328" s="108">
        <f t="shared" ref="O328:O336" si="18">SUM(N328*M328)</f>
        <v>0</v>
      </c>
      <c r="P328" s="28">
        <v>1.72</v>
      </c>
      <c r="Q328" s="197">
        <f>SUM(Pienkojeet!O77)</f>
        <v>0</v>
      </c>
      <c r="R328" s="651">
        <f t="shared" ref="R328:R336" si="19">SUM(Q328*P328)</f>
        <v>0</v>
      </c>
      <c r="S328" s="7"/>
      <c r="T328" s="148"/>
      <c r="U328" s="148"/>
      <c r="V328" s="148"/>
      <c r="W328" s="148"/>
      <c r="X328" s="148"/>
      <c r="Y328" s="148"/>
      <c r="Z328" s="148"/>
      <c r="AA328" s="148"/>
      <c r="AB328" s="148"/>
      <c r="AC328" s="148"/>
      <c r="AD328" s="148"/>
      <c r="AE328" s="148"/>
      <c r="AF328" s="148"/>
      <c r="AG328" s="148"/>
      <c r="AH328" s="148"/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</row>
    <row r="329" spans="1:52" ht="12.75" x14ac:dyDescent="0.2">
      <c r="A329" s="835"/>
      <c r="B329" s="16" t="s">
        <v>12</v>
      </c>
      <c r="C329" s="15" t="s">
        <v>158</v>
      </c>
      <c r="D329" s="15" t="s">
        <v>0</v>
      </c>
      <c r="E329" s="16" t="s">
        <v>12</v>
      </c>
      <c r="F329" s="15" t="s">
        <v>158</v>
      </c>
      <c r="G329" s="649" t="s">
        <v>0</v>
      </c>
      <c r="H329" s="646">
        <v>-1500</v>
      </c>
      <c r="I329" s="28">
        <v>1.5</v>
      </c>
      <c r="J329" s="197">
        <f>SUM(Pienkojeet!Q46)</f>
        <v>0</v>
      </c>
      <c r="K329" s="656">
        <f>SUM(J329*1.5)</f>
        <v>0</v>
      </c>
      <c r="L329" s="650">
        <v>-2500</v>
      </c>
      <c r="M329" s="28">
        <v>1.83</v>
      </c>
      <c r="N329" s="197">
        <f>SUM(Pienkojeet!Q62)</f>
        <v>0</v>
      </c>
      <c r="O329" s="108">
        <f t="shared" si="18"/>
        <v>0</v>
      </c>
      <c r="P329" s="28">
        <v>1.98</v>
      </c>
      <c r="Q329" s="197">
        <f>SUM(Pienkojeet!O78)</f>
        <v>0</v>
      </c>
      <c r="R329" s="651">
        <f t="shared" si="19"/>
        <v>0</v>
      </c>
      <c r="S329" s="7"/>
      <c r="T329" s="148"/>
      <c r="U329" s="148"/>
      <c r="V329" s="148"/>
      <c r="W329" s="148"/>
      <c r="X329" s="148"/>
      <c r="Y329" s="148"/>
      <c r="Z329" s="148"/>
      <c r="AA329" s="148"/>
      <c r="AB329" s="148"/>
      <c r="AC329" s="148"/>
      <c r="AD329" s="148"/>
      <c r="AE329" s="148"/>
      <c r="AF329" s="148"/>
      <c r="AG329" s="148"/>
      <c r="AH329" s="148"/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</row>
    <row r="330" spans="1:52" ht="12.75" x14ac:dyDescent="0.2">
      <c r="A330" s="650">
        <v>-15</v>
      </c>
      <c r="B330" s="28">
        <v>1.04</v>
      </c>
      <c r="C330" s="197">
        <f>SUM(Pienkojeet!Q22)</f>
        <v>0</v>
      </c>
      <c r="D330" s="108">
        <f>SUM(B330*C330)</f>
        <v>0</v>
      </c>
      <c r="E330" s="28">
        <v>1.28</v>
      </c>
      <c r="F330" s="197">
        <f>SUM(Pienkojeet!Q34)</f>
        <v>0</v>
      </c>
      <c r="G330" s="651">
        <f>SUM(E330*F330)</f>
        <v>0</v>
      </c>
      <c r="H330" s="646">
        <v>-200</v>
      </c>
      <c r="I330" s="28">
        <v>1.9</v>
      </c>
      <c r="J330" s="197">
        <f>SUM(Pienkojeet!Q47)</f>
        <v>0</v>
      </c>
      <c r="K330" s="656">
        <f>SUM(J330*1.9)</f>
        <v>0</v>
      </c>
      <c r="L330" s="650">
        <v>-3000</v>
      </c>
      <c r="M330" s="28">
        <v>2.08</v>
      </c>
      <c r="N330" s="197">
        <f>SUM(Pienkojeet!Q63)</f>
        <v>0</v>
      </c>
      <c r="O330" s="108">
        <f t="shared" si="18"/>
        <v>0</v>
      </c>
      <c r="P330" s="28">
        <v>2.25</v>
      </c>
      <c r="Q330" s="197">
        <f>SUM(Pienkojeet!O79)</f>
        <v>0</v>
      </c>
      <c r="R330" s="651">
        <f t="shared" si="19"/>
        <v>0</v>
      </c>
      <c r="S330" s="7"/>
      <c r="T330" s="148"/>
      <c r="U330" s="148"/>
      <c r="V330" s="148"/>
      <c r="W330" s="148"/>
      <c r="X330" s="148"/>
      <c r="Y330" s="148"/>
      <c r="Z330" s="148"/>
      <c r="AA330" s="148"/>
      <c r="AB330" s="148"/>
      <c r="AC330" s="148"/>
      <c r="AD330" s="148"/>
      <c r="AE330" s="148"/>
      <c r="AF330" s="148"/>
      <c r="AG330" s="148"/>
      <c r="AH330" s="148"/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</row>
    <row r="331" spans="1:52" ht="12.75" x14ac:dyDescent="0.2">
      <c r="A331" s="650">
        <v>-35</v>
      </c>
      <c r="B331" s="28">
        <v>1.1599999999999999</v>
      </c>
      <c r="C331" s="197">
        <f>SUM(Pienkojeet!Q23)</f>
        <v>0</v>
      </c>
      <c r="D331" s="108">
        <f t="shared" ref="D331:D335" si="20">SUM(B331*C331)</f>
        <v>0</v>
      </c>
      <c r="E331" s="28">
        <v>1.39</v>
      </c>
      <c r="F331" s="197">
        <f>SUM(Pienkojeet!Q35)</f>
        <v>0</v>
      </c>
      <c r="G331" s="651">
        <f t="shared" ref="G331:G335" si="21">SUM(E331*F331)</f>
        <v>0</v>
      </c>
      <c r="H331" s="646">
        <v>-2500</v>
      </c>
      <c r="I331" s="28">
        <v>2.2000000000000002</v>
      </c>
      <c r="J331" s="197">
        <f>SUM(Pienkojeet!Q48)</f>
        <v>0</v>
      </c>
      <c r="K331" s="656">
        <f>SUM(J331*2.2)</f>
        <v>0</v>
      </c>
      <c r="L331" s="650">
        <v>-3500</v>
      </c>
      <c r="M331" s="28">
        <v>2.3199999999999998</v>
      </c>
      <c r="N331" s="197">
        <f>SUM(Pienkojeet!Q64)</f>
        <v>0</v>
      </c>
      <c r="O331" s="108">
        <f t="shared" si="18"/>
        <v>0</v>
      </c>
      <c r="P331" s="28">
        <v>2.52</v>
      </c>
      <c r="Q331" s="197">
        <f>SUM(Pienkojeet!O80)</f>
        <v>0</v>
      </c>
      <c r="R331" s="651">
        <f t="shared" si="19"/>
        <v>0</v>
      </c>
      <c r="S331" s="7"/>
      <c r="T331" s="148"/>
      <c r="U331" s="148"/>
      <c r="V331" s="148"/>
      <c r="W331" s="148"/>
      <c r="X331" s="148"/>
      <c r="Y331" s="148"/>
      <c r="Z331" s="148"/>
      <c r="AA331" s="148"/>
      <c r="AB331" s="148"/>
      <c r="AC331" s="148"/>
      <c r="AD331" s="148"/>
      <c r="AE331" s="148"/>
      <c r="AF331" s="148"/>
      <c r="AG331" s="148"/>
      <c r="AH331" s="148"/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</row>
    <row r="332" spans="1:52" ht="12.75" x14ac:dyDescent="0.2">
      <c r="A332" s="650">
        <v>-60</v>
      </c>
      <c r="B332" s="28">
        <v>1.74</v>
      </c>
      <c r="C332" s="197">
        <f>SUM(Pienkojeet!Q24)</f>
        <v>0</v>
      </c>
      <c r="D332" s="108">
        <f t="shared" si="20"/>
        <v>0</v>
      </c>
      <c r="E332" s="28">
        <v>1.97</v>
      </c>
      <c r="F332" s="197">
        <f>SUM(Pienkojeet!Q36)</f>
        <v>0</v>
      </c>
      <c r="G332" s="651">
        <f t="shared" si="21"/>
        <v>0</v>
      </c>
      <c r="H332" s="646">
        <v>-3000</v>
      </c>
      <c r="I332" s="28">
        <v>2.5</v>
      </c>
      <c r="J332" s="197">
        <f>SUM(Pienkojeet!Q49)</f>
        <v>0</v>
      </c>
      <c r="K332" s="656">
        <f>SUM(J332*2.5)</f>
        <v>0</v>
      </c>
      <c r="L332" s="650">
        <v>-4000</v>
      </c>
      <c r="M332" s="28">
        <v>2.65</v>
      </c>
      <c r="N332" s="197">
        <f>SUM(Pienkojeet!Q65)</f>
        <v>0</v>
      </c>
      <c r="O332" s="108">
        <f t="shared" si="18"/>
        <v>0</v>
      </c>
      <c r="P332" s="28">
        <v>2.88</v>
      </c>
      <c r="Q332" s="197">
        <f>SUM(Pienkojeet!O81)</f>
        <v>0</v>
      </c>
      <c r="R332" s="651">
        <f t="shared" si="19"/>
        <v>0</v>
      </c>
      <c r="S332" s="7"/>
      <c r="T332" s="148"/>
      <c r="U332" s="148"/>
      <c r="V332" s="148"/>
      <c r="W332" s="148"/>
      <c r="X332" s="148"/>
      <c r="Y332" s="148"/>
      <c r="Z332" s="148"/>
      <c r="AA332" s="148"/>
      <c r="AB332" s="148"/>
      <c r="AC332" s="148"/>
      <c r="AD332" s="148"/>
      <c r="AE332" s="148"/>
      <c r="AF332" s="148"/>
      <c r="AG332" s="148"/>
      <c r="AH332" s="148"/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</row>
    <row r="333" spans="1:52" ht="13.5" customHeight="1" x14ac:dyDescent="0.2">
      <c r="A333" s="650">
        <v>-100</v>
      </c>
      <c r="B333" s="28">
        <v>2.3199999999999998</v>
      </c>
      <c r="C333" s="197">
        <f>SUM(Pienkojeet!Q25)</f>
        <v>0</v>
      </c>
      <c r="D333" s="108">
        <f t="shared" si="20"/>
        <v>0</v>
      </c>
      <c r="E333" s="28">
        <v>2.5499999999999998</v>
      </c>
      <c r="F333" s="197">
        <f>SUM(Pienkojeet!Q37)</f>
        <v>0</v>
      </c>
      <c r="G333" s="651">
        <f t="shared" si="21"/>
        <v>0</v>
      </c>
      <c r="H333" s="646">
        <v>-3500</v>
      </c>
      <c r="I333" s="28">
        <v>2.8</v>
      </c>
      <c r="J333" s="197">
        <f>SUM(Pienkojeet!Q50)</f>
        <v>0</v>
      </c>
      <c r="K333" s="656">
        <f>SUM(J333*2.8)</f>
        <v>0</v>
      </c>
      <c r="L333" s="650">
        <v>-4500</v>
      </c>
      <c r="M333" s="28">
        <v>2.99</v>
      </c>
      <c r="N333" s="197">
        <f>SUM(Pienkojeet!Q66)</f>
        <v>0</v>
      </c>
      <c r="O333" s="108">
        <f t="shared" si="18"/>
        <v>0</v>
      </c>
      <c r="P333" s="28">
        <v>3.24</v>
      </c>
      <c r="Q333" s="197">
        <f>SUM(Pienkojeet!O82)</f>
        <v>0</v>
      </c>
      <c r="R333" s="651">
        <f t="shared" si="19"/>
        <v>0</v>
      </c>
      <c r="S333" s="7"/>
      <c r="T333" s="148"/>
      <c r="U333" s="148"/>
      <c r="V333" s="148"/>
      <c r="W333" s="148"/>
      <c r="X333" s="148"/>
      <c r="Y333" s="148"/>
      <c r="Z333" s="148"/>
      <c r="AA333" s="148"/>
      <c r="AB333" s="148"/>
      <c r="AC333" s="148"/>
      <c r="AD333" s="148"/>
      <c r="AE333" s="148"/>
      <c r="AF333" s="148"/>
      <c r="AG333" s="148"/>
      <c r="AH333" s="148"/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</row>
    <row r="334" spans="1:52" ht="12.75" x14ac:dyDescent="0.2">
      <c r="A334" s="650">
        <v>-150</v>
      </c>
      <c r="B334" s="28">
        <v>2.9</v>
      </c>
      <c r="C334" s="197">
        <f>SUM(Pienkojeet!Q26)</f>
        <v>0</v>
      </c>
      <c r="D334" s="108">
        <f t="shared" si="20"/>
        <v>0</v>
      </c>
      <c r="E334" s="28">
        <v>3.13</v>
      </c>
      <c r="F334" s="197">
        <f>SUM(Pienkojeet!Q38)</f>
        <v>0</v>
      </c>
      <c r="G334" s="651">
        <f t="shared" si="21"/>
        <v>0</v>
      </c>
      <c r="H334" s="646">
        <v>-4000</v>
      </c>
      <c r="I334" s="28">
        <v>3.2</v>
      </c>
      <c r="J334" s="197">
        <f>SUM(Pienkojeet!Q51)</f>
        <v>0</v>
      </c>
      <c r="K334" s="656">
        <f>SUM(J334*3.2)</f>
        <v>0</v>
      </c>
      <c r="L334" s="742">
        <v>-5000</v>
      </c>
      <c r="M334" s="743">
        <v>3.23</v>
      </c>
      <c r="N334" s="438">
        <f>SUM(Pienkojeet!Q67)</f>
        <v>0</v>
      </c>
      <c r="O334" s="744">
        <f t="shared" si="18"/>
        <v>0</v>
      </c>
      <c r="P334" s="743">
        <v>3.5</v>
      </c>
      <c r="Q334" s="438">
        <f>SUM(Pienkojeet!O83)</f>
        <v>0</v>
      </c>
      <c r="R334" s="745">
        <f t="shared" si="19"/>
        <v>0</v>
      </c>
      <c r="S334" s="7"/>
      <c r="T334" s="148"/>
      <c r="U334" s="148"/>
      <c r="V334" s="148"/>
      <c r="W334" s="14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/>
      <c r="AH334" s="148"/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</row>
    <row r="335" spans="1:52" ht="13.5" thickBot="1" x14ac:dyDescent="0.25">
      <c r="A335" s="652">
        <v>-200</v>
      </c>
      <c r="B335" s="653">
        <v>3.48</v>
      </c>
      <c r="C335" s="654">
        <f>SUM(Pienkojeet!Q27)</f>
        <v>0</v>
      </c>
      <c r="D335" s="658">
        <f t="shared" si="20"/>
        <v>0</v>
      </c>
      <c r="E335" s="653">
        <v>3.71</v>
      </c>
      <c r="F335" s="654">
        <f>SUM(Pienkojeet!Q39)</f>
        <v>0</v>
      </c>
      <c r="G335" s="655">
        <f t="shared" si="21"/>
        <v>0</v>
      </c>
      <c r="H335" s="646">
        <v>-4500</v>
      </c>
      <c r="I335" s="28">
        <v>3.6</v>
      </c>
      <c r="J335" s="197">
        <f>SUM(Pienkojeet!Q52)</f>
        <v>0</v>
      </c>
      <c r="K335" s="656">
        <f>SUM(J335*3.6)</f>
        <v>0</v>
      </c>
      <c r="L335" s="650">
        <v>-5500</v>
      </c>
      <c r="M335" s="15">
        <v>3.48</v>
      </c>
      <c r="N335" s="200">
        <f>SUM(Pienkojeet!Q68)</f>
        <v>0</v>
      </c>
      <c r="O335" s="744">
        <f t="shared" si="18"/>
        <v>0</v>
      </c>
      <c r="P335" s="15">
        <v>3.77</v>
      </c>
      <c r="Q335" s="200">
        <f>SUM(Pienkojeet!Q84)</f>
        <v>0</v>
      </c>
      <c r="R335" s="745">
        <f t="shared" si="19"/>
        <v>0</v>
      </c>
      <c r="S335" s="7"/>
      <c r="T335" s="148"/>
      <c r="U335" s="148"/>
      <c r="V335" s="148"/>
      <c r="W335" s="14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/>
      <c r="AH335" s="148"/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</row>
    <row r="336" spans="1:52" ht="13.5" thickBot="1" x14ac:dyDescent="0.25">
      <c r="A336" s="25"/>
      <c r="B336" s="43"/>
      <c r="D336" s="25"/>
      <c r="F336" s="25"/>
      <c r="G336" s="190"/>
      <c r="H336" s="652">
        <v>-5000</v>
      </c>
      <c r="I336" s="653">
        <v>3.9</v>
      </c>
      <c r="J336" s="654">
        <f>SUM(Pienkojeet!Q53)</f>
        <v>0</v>
      </c>
      <c r="K336" s="657">
        <f>SUM(J336*3.9)</f>
        <v>0</v>
      </c>
      <c r="L336" s="652">
        <v>-6000</v>
      </c>
      <c r="M336" s="746">
        <v>3.72</v>
      </c>
      <c r="N336" s="747">
        <f>SUM(Pienkojeet!Q69)</f>
        <v>0</v>
      </c>
      <c r="O336" s="658">
        <f t="shared" si="18"/>
        <v>0</v>
      </c>
      <c r="P336" s="653">
        <v>4.04</v>
      </c>
      <c r="Q336" s="747">
        <f>SUM(Pienkojeet!Q85)</f>
        <v>0</v>
      </c>
      <c r="R336" s="655">
        <f t="shared" si="19"/>
        <v>0</v>
      </c>
      <c r="S336" s="7"/>
      <c r="T336" s="148"/>
      <c r="U336" s="148"/>
      <c r="V336" s="148"/>
      <c r="W336" s="148"/>
      <c r="X336" s="148"/>
      <c r="Y336" s="148"/>
      <c r="Z336" s="148"/>
      <c r="AA336" s="148"/>
      <c r="AB336" s="148"/>
      <c r="AC336" s="148"/>
      <c r="AD336" s="148"/>
      <c r="AE336" s="148"/>
      <c r="AF336" s="148"/>
      <c r="AG336" s="148"/>
      <c r="AH336" s="148"/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</row>
    <row r="337" spans="1:52" ht="13.5" customHeight="1" thickBot="1" x14ac:dyDescent="0.25">
      <c r="A337" s="720"/>
      <c r="B337" s="721"/>
      <c r="C337" s="722" t="s">
        <v>0</v>
      </c>
      <c r="D337" s="751">
        <f>SUM(D330:D335)</f>
        <v>0</v>
      </c>
      <c r="E337" s="723"/>
      <c r="F337" s="724" t="s">
        <v>0</v>
      </c>
      <c r="G337" s="752">
        <f>SUM(G330:G335)</f>
        <v>0</v>
      </c>
      <c r="H337" s="725"/>
      <c r="I337" s="726"/>
      <c r="J337" s="722" t="s">
        <v>0</v>
      </c>
      <c r="K337" s="752">
        <f>SUM(K329:K336)</f>
        <v>0</v>
      </c>
      <c r="L337" s="725"/>
      <c r="M337" s="726"/>
      <c r="N337" s="722" t="s">
        <v>0</v>
      </c>
      <c r="O337" s="752">
        <f>SUM(O327:O336)</f>
        <v>0</v>
      </c>
      <c r="P337" s="726"/>
      <c r="Q337" s="722" t="s">
        <v>0</v>
      </c>
      <c r="R337" s="752">
        <f>SUM(R327:R336)</f>
        <v>0</v>
      </c>
      <c r="S337" s="7"/>
      <c r="T337" s="148"/>
      <c r="U337" s="148"/>
      <c r="V337" s="148"/>
      <c r="W337" s="148"/>
      <c r="X337" s="148"/>
      <c r="Y337" s="148"/>
      <c r="Z337" s="148"/>
      <c r="AA337" s="148"/>
      <c r="AB337" s="148"/>
      <c r="AC337" s="148"/>
      <c r="AD337" s="148"/>
      <c r="AE337" s="148"/>
      <c r="AF337" s="148"/>
      <c r="AG337" s="148"/>
      <c r="AH337" s="148"/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</row>
    <row r="338" spans="1:52" ht="5.25" customHeight="1" x14ac:dyDescent="0.2">
      <c r="A338" s="7"/>
      <c r="B338" s="7"/>
      <c r="C338" s="7"/>
      <c r="D338" s="7"/>
      <c r="E338" s="7"/>
      <c r="F338" s="469"/>
      <c r="G338" s="469"/>
      <c r="H338" s="469"/>
      <c r="I338" s="469"/>
      <c r="J338" s="469"/>
      <c r="K338" s="469"/>
      <c r="L338" s="7"/>
      <c r="M338" s="7"/>
      <c r="N338" s="7"/>
      <c r="O338" s="7"/>
      <c r="P338" s="7"/>
      <c r="Q338" s="7"/>
      <c r="R338" s="7"/>
      <c r="S338" s="7"/>
      <c r="T338" s="148"/>
      <c r="U338" s="148"/>
      <c r="V338" s="148"/>
      <c r="W338" s="14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/>
      <c r="AH338" s="148"/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</row>
    <row r="339" spans="1:52" ht="12.75" customHeight="1" x14ac:dyDescent="0.45">
      <c r="A339" s="7"/>
      <c r="C339" s="7"/>
      <c r="D339" s="7"/>
      <c r="E339" s="7"/>
      <c r="H339" s="659" t="s">
        <v>412</v>
      </c>
      <c r="I339" s="469"/>
      <c r="J339" s="469"/>
      <c r="K339" s="469"/>
      <c r="L339" s="7"/>
      <c r="M339" s="7"/>
      <c r="N339" s="7"/>
      <c r="O339" s="7"/>
      <c r="P339" s="721"/>
      <c r="Q339" s="721"/>
      <c r="R339" s="7"/>
      <c r="S339" s="7"/>
      <c r="T339" s="148"/>
      <c r="U339" s="148"/>
      <c r="V339" s="148"/>
      <c r="W339" s="148"/>
      <c r="X339" s="148"/>
      <c r="Y339" s="148"/>
      <c r="Z339" s="148"/>
      <c r="AA339" s="148"/>
      <c r="AB339" s="148"/>
      <c r="AC339" s="148"/>
      <c r="AD339" s="148"/>
      <c r="AE339" s="148"/>
      <c r="AF339" s="148"/>
      <c r="AG339" s="148"/>
      <c r="AH339" s="148"/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</row>
    <row r="340" spans="1:52" ht="12.75" customHeight="1" thickBot="1" x14ac:dyDescent="0.5">
      <c r="A340" s="7"/>
      <c r="C340" s="55"/>
      <c r="D340" s="7"/>
      <c r="E340" s="55"/>
      <c r="H340" s="810" t="s">
        <v>495</v>
      </c>
      <c r="I340" s="810"/>
      <c r="J340" s="810"/>
      <c r="K340" s="810"/>
      <c r="L340" s="810"/>
      <c r="M340" s="810"/>
      <c r="N340" s="810"/>
      <c r="O340" s="7"/>
      <c r="P340" s="730" t="s">
        <v>217</v>
      </c>
      <c r="Q340" s="731" t="s">
        <v>0</v>
      </c>
      <c r="R340" s="748">
        <f>SUM(J318+D337+G337+K337+Q312+Q318+O337+R337)</f>
        <v>0</v>
      </c>
      <c r="S340" s="7"/>
      <c r="T340" s="148"/>
      <c r="U340" s="148"/>
      <c r="V340" s="148"/>
      <c r="W340" s="148"/>
      <c r="X340" s="148"/>
      <c r="Y340" s="148"/>
      <c r="Z340" s="148"/>
      <c r="AA340" s="148"/>
      <c r="AB340" s="148"/>
      <c r="AC340" s="148"/>
      <c r="AD340" s="148"/>
      <c r="AE340" s="148"/>
      <c r="AF340" s="148"/>
      <c r="AG340" s="148"/>
      <c r="AH340" s="148"/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</row>
    <row r="341" spans="1:52" ht="12.75" customHeight="1" x14ac:dyDescent="0.45">
      <c r="A341" s="7"/>
      <c r="C341" s="55"/>
      <c r="D341" s="7"/>
      <c r="E341" s="55"/>
      <c r="H341" s="810"/>
      <c r="I341" s="810"/>
      <c r="J341" s="810"/>
      <c r="K341" s="810"/>
      <c r="L341" s="810"/>
      <c r="M341" s="810"/>
      <c r="N341" s="810"/>
      <c r="O341" s="7"/>
      <c r="P341" s="7"/>
      <c r="Q341" s="7"/>
      <c r="R341" s="7"/>
      <c r="S341" s="7"/>
      <c r="T341" s="148"/>
      <c r="U341" s="148"/>
      <c r="V341" s="148"/>
      <c r="W341" s="14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/>
      <c r="AH341" s="148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</row>
    <row r="342" spans="1:52" ht="21" customHeight="1" x14ac:dyDescent="0.2">
      <c r="A342" s="7"/>
      <c r="B342" s="17"/>
      <c r="C342" s="55"/>
      <c r="D342" s="7"/>
      <c r="E342" s="55"/>
      <c r="F342" s="469"/>
      <c r="G342" s="469"/>
      <c r="H342" s="469"/>
      <c r="I342" s="469"/>
      <c r="J342" s="469"/>
      <c r="K342" s="469"/>
      <c r="L342" s="7"/>
      <c r="M342" s="7"/>
      <c r="N342" s="7"/>
      <c r="O342" s="7"/>
      <c r="P342" s="7"/>
      <c r="Q342" s="7"/>
      <c r="R342" s="7"/>
      <c r="S342" s="7"/>
      <c r="T342" s="148"/>
      <c r="U342" s="148"/>
      <c r="V342" s="148"/>
      <c r="W342" s="14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/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</row>
    <row r="343" spans="1:52" ht="0.75" customHeight="1" x14ac:dyDescent="0.2">
      <c r="A343" s="7"/>
      <c r="B343" s="17"/>
      <c r="C343" s="55"/>
      <c r="D343" s="7"/>
      <c r="E343" s="55"/>
      <c r="F343" s="7"/>
      <c r="G343" s="469"/>
      <c r="H343" s="469"/>
      <c r="I343" s="469"/>
      <c r="J343" s="469"/>
      <c r="K343" s="469"/>
      <c r="L343" s="7"/>
      <c r="M343" s="7"/>
      <c r="N343" s="7"/>
      <c r="O343" s="7"/>
      <c r="P343" s="7"/>
      <c r="Q343" s="7"/>
      <c r="R343" s="7"/>
      <c r="S343" s="7"/>
      <c r="T343" s="148"/>
      <c r="U343" s="148"/>
      <c r="V343" s="148"/>
      <c r="W343" s="148"/>
      <c r="X343" s="148"/>
      <c r="Y343" s="148"/>
      <c r="Z343" s="148"/>
      <c r="AA343" s="148"/>
      <c r="AB343" s="148"/>
      <c r="AC343" s="148"/>
      <c r="AD343" s="148"/>
      <c r="AE343" s="148"/>
      <c r="AF343" s="148"/>
      <c r="AG343" s="148"/>
      <c r="AH343" s="148"/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</row>
    <row r="344" spans="1:52" ht="19.5" customHeight="1" x14ac:dyDescent="0.25">
      <c r="A344" s="7"/>
      <c r="B344" s="44" t="s">
        <v>518</v>
      </c>
      <c r="C344" s="7"/>
      <c r="D344" s="7"/>
      <c r="E344" s="7"/>
      <c r="F344" s="7"/>
      <c r="G344" s="7"/>
      <c r="H344" s="7"/>
      <c r="I344" s="7"/>
      <c r="J344" s="45"/>
      <c r="K344" s="7"/>
      <c r="L344" s="7"/>
      <c r="M344" s="7"/>
      <c r="N344" s="7"/>
      <c r="O344" s="7"/>
      <c r="P344" s="7"/>
      <c r="Q344" s="7"/>
      <c r="R344" s="7"/>
      <c r="S344" s="7"/>
      <c r="T344" s="148"/>
      <c r="U344" s="240"/>
      <c r="V344" s="239"/>
      <c r="W344" s="120"/>
      <c r="X344" s="239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</row>
    <row r="345" spans="1:52" ht="12.75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367" t="s">
        <v>234</v>
      </c>
      <c r="K345" s="7"/>
      <c r="L345" s="7"/>
      <c r="M345" s="7"/>
      <c r="N345" s="7"/>
      <c r="O345" s="7"/>
      <c r="P345" s="7"/>
      <c r="Q345" s="7"/>
      <c r="R345" s="7"/>
      <c r="S345" s="7"/>
      <c r="T345" s="148"/>
      <c r="U345" s="240"/>
      <c r="V345" s="239"/>
      <c r="W345" s="120"/>
      <c r="X345" s="239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</row>
    <row r="346" spans="1:52" ht="12.75" x14ac:dyDescent="0.2">
      <c r="A346" s="50"/>
      <c r="B346" s="11" t="s">
        <v>54</v>
      </c>
      <c r="C346" s="798" t="s">
        <v>51</v>
      </c>
      <c r="D346" s="799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148"/>
      <c r="U346" s="240"/>
      <c r="V346" s="239"/>
      <c r="W346" s="120"/>
      <c r="X346" s="239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</row>
    <row r="347" spans="1:52" ht="12.75" x14ac:dyDescent="0.2">
      <c r="A347" s="50"/>
      <c r="B347" s="66" t="s">
        <v>5</v>
      </c>
      <c r="C347" s="789" t="s">
        <v>15</v>
      </c>
      <c r="D347" s="789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148"/>
      <c r="U347" s="240"/>
      <c r="V347" s="239"/>
      <c r="W347" s="120"/>
      <c r="X347" s="239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</row>
    <row r="348" spans="1:52" ht="12.75" x14ac:dyDescent="0.2">
      <c r="A348" s="50"/>
      <c r="B348" s="66" t="s">
        <v>6</v>
      </c>
      <c r="C348" s="789" t="s">
        <v>16</v>
      </c>
      <c r="D348" s="789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148"/>
      <c r="U348" s="240"/>
      <c r="V348" s="239"/>
      <c r="W348" s="120"/>
      <c r="X348" s="239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</row>
    <row r="349" spans="1:52" ht="12.75" x14ac:dyDescent="0.2">
      <c r="A349" s="50"/>
      <c r="B349" s="66" t="s">
        <v>7</v>
      </c>
      <c r="C349" s="789" t="s">
        <v>17</v>
      </c>
      <c r="D349" s="789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148"/>
      <c r="U349" s="240"/>
      <c r="V349" s="239"/>
      <c r="W349" s="120"/>
      <c r="X349" s="239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</row>
    <row r="350" spans="1:52" ht="12.75" x14ac:dyDescent="0.2">
      <c r="A350" s="50"/>
      <c r="B350" s="66" t="s">
        <v>8</v>
      </c>
      <c r="C350" s="789" t="s">
        <v>18</v>
      </c>
      <c r="D350" s="789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148"/>
      <c r="U350" s="240"/>
      <c r="V350" s="239"/>
      <c r="W350" s="120"/>
      <c r="X350" s="239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</row>
    <row r="351" spans="1:52" ht="12.75" x14ac:dyDescent="0.2">
      <c r="A351" s="50"/>
      <c r="B351" s="66" t="s">
        <v>9</v>
      </c>
      <c r="C351" s="789" t="s">
        <v>19</v>
      </c>
      <c r="D351" s="789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148"/>
      <c r="U351" s="240"/>
      <c r="V351" s="239"/>
      <c r="W351" s="120"/>
      <c r="X351" s="239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</row>
    <row r="352" spans="1:52" ht="12.75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148"/>
      <c r="U352" s="240"/>
      <c r="V352" s="239"/>
      <c r="W352" s="120"/>
      <c r="X352" s="239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</row>
    <row r="353" spans="1:52" ht="12.75" x14ac:dyDescent="0.2">
      <c r="A353" s="50"/>
      <c r="B353" s="13" t="s">
        <v>54</v>
      </c>
      <c r="C353" s="361"/>
      <c r="D353" s="167" t="s">
        <v>15</v>
      </c>
      <c r="E353" s="362"/>
      <c r="F353" s="363" t="s">
        <v>67</v>
      </c>
      <c r="G353" s="167" t="s">
        <v>16</v>
      </c>
      <c r="H353" s="362"/>
      <c r="I353" s="363"/>
      <c r="J353" s="167" t="s">
        <v>17</v>
      </c>
      <c r="K353" s="362"/>
      <c r="L353" s="363" t="s">
        <v>67</v>
      </c>
      <c r="M353" s="168" t="s">
        <v>333</v>
      </c>
      <c r="N353" s="362"/>
      <c r="O353" s="363" t="s">
        <v>67</v>
      </c>
      <c r="P353" s="167" t="s">
        <v>19</v>
      </c>
      <c r="Q353" s="9"/>
      <c r="R353" s="7"/>
      <c r="S353" s="7"/>
      <c r="T353" s="148"/>
      <c r="U353" s="240"/>
      <c r="V353" s="239"/>
      <c r="W353" s="120"/>
      <c r="X353" s="239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</row>
    <row r="354" spans="1:52" ht="12.75" x14ac:dyDescent="0.2">
      <c r="A354" s="50"/>
      <c r="B354" s="14" t="s">
        <v>61</v>
      </c>
      <c r="C354" s="57" t="s">
        <v>0</v>
      </c>
      <c r="D354" s="21" t="s">
        <v>158</v>
      </c>
      <c r="E354" s="67" t="s">
        <v>0</v>
      </c>
      <c r="F354" s="57" t="s">
        <v>0</v>
      </c>
      <c r="G354" s="21" t="s">
        <v>158</v>
      </c>
      <c r="H354" s="67" t="s">
        <v>0</v>
      </c>
      <c r="I354" s="57" t="s">
        <v>0</v>
      </c>
      <c r="J354" s="21" t="s">
        <v>158</v>
      </c>
      <c r="K354" s="67" t="s">
        <v>0</v>
      </c>
      <c r="L354" s="57" t="s">
        <v>0</v>
      </c>
      <c r="M354" s="21" t="s">
        <v>158</v>
      </c>
      <c r="N354" s="67" t="s">
        <v>0</v>
      </c>
      <c r="O354" s="57" t="s">
        <v>0</v>
      </c>
      <c r="P354" s="21" t="s">
        <v>158</v>
      </c>
      <c r="Q354" s="67" t="s">
        <v>0</v>
      </c>
      <c r="R354" s="7"/>
      <c r="S354" s="7"/>
      <c r="T354" s="148"/>
      <c r="U354" s="240"/>
      <c r="V354" s="239"/>
      <c r="W354" s="120"/>
      <c r="X354" s="239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</row>
    <row r="355" spans="1:52" ht="12.75" x14ac:dyDescent="0.2">
      <c r="A355" s="50"/>
      <c r="B355" s="64" t="s">
        <v>5</v>
      </c>
      <c r="C355" s="28">
        <v>0.17</v>
      </c>
      <c r="D355" s="197">
        <f>SUM(Aksiaalipuhaltimet!Q9)</f>
        <v>0</v>
      </c>
      <c r="E355" s="108">
        <f>SUM(D355*0.17)</f>
        <v>0</v>
      </c>
      <c r="F355" s="28">
        <v>0.28999999999999998</v>
      </c>
      <c r="G355" s="197">
        <f>SUM(Aksiaalipuhaltimet!Q10)</f>
        <v>0</v>
      </c>
      <c r="H355" s="108">
        <f>SUM(G355*0.29)</f>
        <v>0</v>
      </c>
      <c r="I355" s="28">
        <v>0.37</v>
      </c>
      <c r="J355" s="197">
        <f>SUM(Aksiaalipuhaltimet!Q11)</f>
        <v>0</v>
      </c>
      <c r="K355" s="108">
        <f>SUM(J355*0.37)</f>
        <v>0</v>
      </c>
      <c r="L355" s="28">
        <v>0.46</v>
      </c>
      <c r="M355" s="197">
        <f>SUM(Aksiaalipuhaltimet!Q12)</f>
        <v>0</v>
      </c>
      <c r="N355" s="108">
        <f>SUM(M355*0.46)</f>
        <v>0</v>
      </c>
      <c r="O355" s="28">
        <v>0.56999999999999995</v>
      </c>
      <c r="P355" s="197">
        <f>SUM(Aksiaalipuhaltimet!Q13)</f>
        <v>0</v>
      </c>
      <c r="Q355" s="108">
        <f>SUM(P355*0.57)</f>
        <v>0</v>
      </c>
      <c r="R355" s="7"/>
      <c r="S355" s="7"/>
      <c r="T355" s="148"/>
      <c r="U355" s="240"/>
      <c r="V355" s="239"/>
      <c r="W355" s="120"/>
      <c r="X355" s="239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</row>
    <row r="356" spans="1:52" ht="12.75" x14ac:dyDescent="0.2">
      <c r="A356" s="50"/>
      <c r="B356" s="64" t="s">
        <v>6</v>
      </c>
      <c r="C356" s="28">
        <v>0.17</v>
      </c>
      <c r="D356" s="197">
        <f>SUM(Aksiaalipuhaltimet!Q20)</f>
        <v>0</v>
      </c>
      <c r="E356" s="108">
        <f>SUM(D356*0.17)</f>
        <v>0</v>
      </c>
      <c r="F356" s="28">
        <v>0.28999999999999998</v>
      </c>
      <c r="G356" s="197">
        <f>SUM(Aksiaalipuhaltimet!Q21)</f>
        <v>0</v>
      </c>
      <c r="H356" s="108">
        <f>SUM(G356*0.29)</f>
        <v>0</v>
      </c>
      <c r="I356" s="28">
        <v>0.37</v>
      </c>
      <c r="J356" s="197">
        <f>SUM(Aksiaalipuhaltimet!Q22)</f>
        <v>0</v>
      </c>
      <c r="K356" s="108">
        <f>SUM(J356*0.37)</f>
        <v>0</v>
      </c>
      <c r="L356" s="28">
        <v>0.46</v>
      </c>
      <c r="M356" s="197">
        <f>SUM(Aksiaalipuhaltimet!Q23)</f>
        <v>0</v>
      </c>
      <c r="N356" s="108">
        <f>SUM(M356*0.46)</f>
        <v>0</v>
      </c>
      <c r="O356" s="28">
        <v>0.56999999999999995</v>
      </c>
      <c r="P356" s="197">
        <f>SUM(Aksiaalipuhaltimet!Q24)</f>
        <v>0</v>
      </c>
      <c r="Q356" s="108">
        <f>SUM(P356*0.57)</f>
        <v>0</v>
      </c>
      <c r="R356" s="7"/>
      <c r="S356" s="7"/>
      <c r="T356" s="148"/>
      <c r="U356" s="240"/>
      <c r="V356" s="239"/>
      <c r="W356" s="120"/>
      <c r="X356" s="239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</row>
    <row r="357" spans="1:52" ht="12.75" x14ac:dyDescent="0.2">
      <c r="A357" s="50"/>
      <c r="B357" s="64" t="s">
        <v>7</v>
      </c>
      <c r="C357" s="28">
        <v>0.28999999999999998</v>
      </c>
      <c r="D357" s="197">
        <f>SUM(Aksiaalipuhaltimet!Q31)</f>
        <v>0</v>
      </c>
      <c r="E357" s="108">
        <f>SUM(D357*0.29)</f>
        <v>0</v>
      </c>
      <c r="F357" s="28">
        <v>0.37</v>
      </c>
      <c r="G357" s="197">
        <f>SUM(Aksiaalipuhaltimet!Q32)</f>
        <v>0</v>
      </c>
      <c r="H357" s="108">
        <f>SUM(G357*0.37)</f>
        <v>0</v>
      </c>
      <c r="I357" s="28">
        <v>0.46</v>
      </c>
      <c r="J357" s="197">
        <f>SUM(Aksiaalipuhaltimet!Q33)</f>
        <v>0</v>
      </c>
      <c r="K357" s="108">
        <f>SUM(J357*0.46)</f>
        <v>0</v>
      </c>
      <c r="L357" s="28">
        <v>0.56999999999999995</v>
      </c>
      <c r="M357" s="197">
        <f>SUM(Aksiaalipuhaltimet!Q34)</f>
        <v>0</v>
      </c>
      <c r="N357" s="108">
        <f>SUM(M357*0.57)</f>
        <v>0</v>
      </c>
      <c r="O357" s="28">
        <v>0.66</v>
      </c>
      <c r="P357" s="197">
        <f>SUM(Aksiaalipuhaltimet!Q35)</f>
        <v>0</v>
      </c>
      <c r="Q357" s="108">
        <f>SUM(P357*0.66)</f>
        <v>0</v>
      </c>
      <c r="R357" s="7"/>
      <c r="S357" s="7"/>
      <c r="T357" s="148"/>
      <c r="U357" s="240"/>
      <c r="V357" s="239"/>
      <c r="W357" s="120"/>
      <c r="X357" s="239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</row>
    <row r="358" spans="1:52" ht="12.75" x14ac:dyDescent="0.2">
      <c r="A358" s="50"/>
      <c r="B358" s="64" t="s">
        <v>8</v>
      </c>
      <c r="C358" s="28">
        <v>0.37</v>
      </c>
      <c r="D358" s="197">
        <f>SUM(Aksiaalipuhaltimet!Q44)</f>
        <v>0</v>
      </c>
      <c r="E358" s="108">
        <f>SUM(D358*0.37)</f>
        <v>0</v>
      </c>
      <c r="F358" s="28">
        <v>0.56999999999999995</v>
      </c>
      <c r="G358" s="197">
        <f>SUM(Aksiaalipuhaltimet!Q45)</f>
        <v>0</v>
      </c>
      <c r="H358" s="108">
        <f>SUM(G358*0.57)</f>
        <v>0</v>
      </c>
      <c r="I358" s="28">
        <v>0.74</v>
      </c>
      <c r="J358" s="197">
        <f>SUM(Aksiaalipuhaltimet!Q46)</f>
        <v>0</v>
      </c>
      <c r="K358" s="108">
        <f>SUM(J358*0.74)</f>
        <v>0</v>
      </c>
      <c r="L358" s="28">
        <v>0.94</v>
      </c>
      <c r="M358" s="197">
        <f>SUM(Aksiaalipuhaltimet!Q47)</f>
        <v>0</v>
      </c>
      <c r="N358" s="108">
        <f>SUM(M358*0.94)</f>
        <v>0</v>
      </c>
      <c r="O358" s="28">
        <v>1.1100000000000001</v>
      </c>
      <c r="P358" s="197">
        <f>SUM(Aksiaalipuhaltimet!Q48)</f>
        <v>0</v>
      </c>
      <c r="Q358" s="108">
        <f>SUM(P358*1.11)</f>
        <v>0</v>
      </c>
      <c r="R358" s="7"/>
      <c r="S358" s="7"/>
      <c r="T358" s="148"/>
      <c r="U358" s="240"/>
      <c r="V358" s="239"/>
      <c r="W358" s="120"/>
      <c r="X358" s="239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</row>
    <row r="359" spans="1:52" ht="12.75" x14ac:dyDescent="0.2">
      <c r="A359" s="50"/>
      <c r="B359" s="64" t="s">
        <v>9</v>
      </c>
      <c r="C359" s="28">
        <v>0.37</v>
      </c>
      <c r="D359" s="197">
        <f>SUM(Aksiaalipuhaltimet!Q56)</f>
        <v>0</v>
      </c>
      <c r="E359" s="108">
        <f>SUM(D359*0.37)</f>
        <v>0</v>
      </c>
      <c r="F359" s="28">
        <v>0.56999999999999995</v>
      </c>
      <c r="G359" s="197">
        <f>SUM(Aksiaalipuhaltimet!Q57)</f>
        <v>0</v>
      </c>
      <c r="H359" s="108">
        <f>SUM(G359*0.57)</f>
        <v>0</v>
      </c>
      <c r="I359" s="28">
        <v>0.74</v>
      </c>
      <c r="J359" s="197">
        <f>SUM(Aksiaalipuhaltimet!Q58)</f>
        <v>0</v>
      </c>
      <c r="K359" s="108">
        <f>SUM(J359*0.74)</f>
        <v>0</v>
      </c>
      <c r="L359" s="28">
        <v>0.94</v>
      </c>
      <c r="M359" s="197">
        <f>SUM(Aksiaalipuhaltimet!Q59)</f>
        <v>0</v>
      </c>
      <c r="N359" s="108">
        <f>SUM(M359*0.94)</f>
        <v>0</v>
      </c>
      <c r="O359" s="28">
        <v>1.1100000000000001</v>
      </c>
      <c r="P359" s="197">
        <f>SUM(Aksiaalipuhaltimet!Q60)</f>
        <v>0</v>
      </c>
      <c r="Q359" s="108">
        <f>SUM(P359*1.11)</f>
        <v>0</v>
      </c>
      <c r="R359" s="7"/>
      <c r="S359" s="7"/>
      <c r="T359" s="148"/>
      <c r="U359" s="240"/>
      <c r="V359" s="239"/>
      <c r="W359" s="120"/>
      <c r="X359" s="239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</row>
    <row r="360" spans="1:52" ht="12.75" x14ac:dyDescent="0.2">
      <c r="A360" s="50"/>
      <c r="B360" s="64" t="s">
        <v>56</v>
      </c>
      <c r="C360" s="28">
        <v>0.56999999999999995</v>
      </c>
      <c r="D360" s="197">
        <f>SUM(Aksiaalipuhaltimet!Q68)</f>
        <v>0</v>
      </c>
      <c r="E360" s="108">
        <f>SUM(D360*0.57)</f>
        <v>0</v>
      </c>
      <c r="F360" s="28">
        <v>0.74</v>
      </c>
      <c r="G360" s="197">
        <f>SUM(Aksiaalipuhaltimet!Q69)</f>
        <v>0</v>
      </c>
      <c r="H360" s="108">
        <f>SUM(G360*0.74)</f>
        <v>0</v>
      </c>
      <c r="I360" s="28">
        <v>0.94</v>
      </c>
      <c r="J360" s="197">
        <f>SUM(Aksiaalipuhaltimet!Q70)</f>
        <v>0</v>
      </c>
      <c r="K360" s="108">
        <f>SUM(J360*0.94)</f>
        <v>0</v>
      </c>
      <c r="L360" s="28">
        <v>1.1100000000000001</v>
      </c>
      <c r="M360" s="197">
        <f>SUM(Aksiaalipuhaltimet!Q71)</f>
        <v>0</v>
      </c>
      <c r="N360" s="108">
        <f>SUM(M360*1.11)</f>
        <v>0</v>
      </c>
      <c r="O360" s="28">
        <v>1.31</v>
      </c>
      <c r="P360" s="197">
        <f>SUM(Aksiaalipuhaltimet!Q72)</f>
        <v>0</v>
      </c>
      <c r="Q360" s="108">
        <f>SUM(P360*1.31)</f>
        <v>0</v>
      </c>
      <c r="R360" s="7"/>
      <c r="S360" s="7"/>
      <c r="T360" s="148"/>
      <c r="U360" s="240"/>
      <c r="V360" s="239"/>
      <c r="W360" s="120"/>
      <c r="X360" s="239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</row>
    <row r="361" spans="1:52" ht="12.75" x14ac:dyDescent="0.2">
      <c r="A361" s="50"/>
      <c r="B361" s="64" t="s">
        <v>57</v>
      </c>
      <c r="C361" s="28">
        <v>0.56999999999999995</v>
      </c>
      <c r="D361" s="197">
        <f>SUM(Aksiaalipuhaltimet!Q82)</f>
        <v>0</v>
      </c>
      <c r="E361" s="108">
        <f>SUM(D361*0.57)</f>
        <v>0</v>
      </c>
      <c r="F361" s="28">
        <v>0.74</v>
      </c>
      <c r="G361" s="197">
        <f>SUM(Aksiaalipuhaltimet!Q83)</f>
        <v>0</v>
      </c>
      <c r="H361" s="108">
        <f>SUM(G361*0.74)</f>
        <v>0</v>
      </c>
      <c r="I361" s="28">
        <v>0.94</v>
      </c>
      <c r="J361" s="197">
        <f>SUM(Aksiaalipuhaltimet!Q84)</f>
        <v>0</v>
      </c>
      <c r="K361" s="108">
        <f>SUM(J361*0.94)</f>
        <v>0</v>
      </c>
      <c r="L361" s="28">
        <v>1.1100000000000001</v>
      </c>
      <c r="M361" s="197">
        <f>SUM(Aksiaalipuhaltimet!Q85)</f>
        <v>0</v>
      </c>
      <c r="N361" s="108">
        <f>SUM(M361*1.11)</f>
        <v>0</v>
      </c>
      <c r="O361" s="28">
        <v>1.31</v>
      </c>
      <c r="P361" s="197">
        <f>SUM(Aksiaalipuhaltimet!Q86)</f>
        <v>0</v>
      </c>
      <c r="Q361" s="108">
        <f>SUM(P361*1.31)</f>
        <v>0</v>
      </c>
      <c r="R361" s="7"/>
      <c r="S361" s="7"/>
      <c r="T361" s="148"/>
      <c r="U361" s="240"/>
      <c r="V361" s="239"/>
      <c r="W361" s="120"/>
      <c r="X361" s="239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</row>
    <row r="362" spans="1:52" ht="12.75" x14ac:dyDescent="0.2">
      <c r="A362" s="50"/>
      <c r="B362" s="64" t="s">
        <v>58</v>
      </c>
      <c r="C362" s="28">
        <v>0.74</v>
      </c>
      <c r="D362" s="197">
        <f>SUM(Aksiaalipuhaltimet!Q94)</f>
        <v>0</v>
      </c>
      <c r="E362" s="108">
        <f>SUM(D362*0.74)</f>
        <v>0</v>
      </c>
      <c r="F362" s="28">
        <v>0.94</v>
      </c>
      <c r="G362" s="197">
        <f>SUM(Aksiaalipuhaltimet!Q95)</f>
        <v>0</v>
      </c>
      <c r="H362" s="108">
        <f>SUM(G362*0.94)</f>
        <v>0</v>
      </c>
      <c r="I362" s="28">
        <v>1.1100000000000001</v>
      </c>
      <c r="J362" s="197">
        <f>SUM(Aksiaalipuhaltimet!Q96)</f>
        <v>0</v>
      </c>
      <c r="K362" s="108">
        <f>SUM(J362*1.11)</f>
        <v>0</v>
      </c>
      <c r="L362" s="28">
        <v>1.31</v>
      </c>
      <c r="M362" s="197">
        <f>SUM(Aksiaalipuhaltimet!Q97)</f>
        <v>0</v>
      </c>
      <c r="N362" s="108">
        <f>SUM(M362*1.31)</f>
        <v>0</v>
      </c>
      <c r="O362" s="28">
        <v>1.45</v>
      </c>
      <c r="P362" s="197">
        <f>SUM(Aksiaalipuhaltimet!Q98)</f>
        <v>0</v>
      </c>
      <c r="Q362" s="108">
        <f>SUM(P362*1.45)</f>
        <v>0</v>
      </c>
      <c r="R362" s="7"/>
      <c r="S362" s="7"/>
      <c r="T362" s="148"/>
      <c r="U362" s="240"/>
      <c r="V362" s="239"/>
      <c r="W362" s="120"/>
      <c r="X362" s="239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</row>
    <row r="363" spans="1:52" ht="12.75" x14ac:dyDescent="0.2">
      <c r="A363" s="50"/>
      <c r="B363" s="64" t="s">
        <v>59</v>
      </c>
      <c r="C363" s="28">
        <v>0.74</v>
      </c>
      <c r="D363" s="197">
        <f>SUM(Aksiaalipuhaltimet!Q106)</f>
        <v>0</v>
      </c>
      <c r="E363" s="108">
        <f>SUM(D363*0.74)</f>
        <v>0</v>
      </c>
      <c r="F363" s="28">
        <v>0.94</v>
      </c>
      <c r="G363" s="197">
        <f>SUM(Aksiaalipuhaltimet!Q107)</f>
        <v>0</v>
      </c>
      <c r="H363" s="108">
        <f>SUM(G363*0.94)</f>
        <v>0</v>
      </c>
      <c r="I363" s="28">
        <v>1.1100000000000001</v>
      </c>
      <c r="J363" s="197">
        <f>SUM(Aksiaalipuhaltimet!Q108)</f>
        <v>0</v>
      </c>
      <c r="K363" s="108">
        <f>SUM(J363*1.11)</f>
        <v>0</v>
      </c>
      <c r="L363" s="28">
        <v>1.31</v>
      </c>
      <c r="M363" s="197">
        <f>SUM(Aksiaalipuhaltimet!Q109)</f>
        <v>0</v>
      </c>
      <c r="N363" s="108">
        <f>SUM(M363*1.31)</f>
        <v>0</v>
      </c>
      <c r="O363" s="28">
        <v>1.45</v>
      </c>
      <c r="P363" s="197">
        <f>SUM(Aksiaalipuhaltimet!Q110)</f>
        <v>0</v>
      </c>
      <c r="Q363" s="108">
        <f>SUM(P363*1.45)</f>
        <v>0</v>
      </c>
      <c r="R363" s="7"/>
      <c r="S363" s="7"/>
      <c r="T363" s="148"/>
      <c r="U363" s="240"/>
      <c r="V363" s="239"/>
      <c r="W363" s="120"/>
      <c r="X363" s="239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</row>
    <row r="364" spans="1:52" ht="12.75" x14ac:dyDescent="0.2">
      <c r="A364" s="50"/>
      <c r="B364" s="64" t="s">
        <v>60</v>
      </c>
      <c r="C364" s="28">
        <v>1.1100000000000001</v>
      </c>
      <c r="D364" s="197">
        <f>SUM(Aksiaalipuhaltimet!Q121)</f>
        <v>0</v>
      </c>
      <c r="E364" s="108">
        <f>SUM(D364*1.11)</f>
        <v>0</v>
      </c>
      <c r="F364" s="28">
        <v>1.31</v>
      </c>
      <c r="G364" s="197">
        <f>SUM(Aksiaalipuhaltimet!Q122)</f>
        <v>0</v>
      </c>
      <c r="H364" s="108">
        <f>SUM(G364*1.31)</f>
        <v>0</v>
      </c>
      <c r="I364" s="28">
        <v>1.48</v>
      </c>
      <c r="J364" s="197">
        <f>SUM(Aksiaalipuhaltimet!Q123)</f>
        <v>0</v>
      </c>
      <c r="K364" s="108">
        <f>SUM(J364*1.48)</f>
        <v>0</v>
      </c>
      <c r="L364" s="28">
        <v>1.68</v>
      </c>
      <c r="M364" s="197">
        <f>SUM(Aksiaalipuhaltimet!Q124)</f>
        <v>0</v>
      </c>
      <c r="N364" s="108">
        <f>SUM(M364*1.68)</f>
        <v>0</v>
      </c>
      <c r="O364" s="28">
        <v>1.87</v>
      </c>
      <c r="P364" s="197">
        <f>SUM(Aksiaalipuhaltimet!Q125)</f>
        <v>0</v>
      </c>
      <c r="Q364" s="108">
        <f>SUM(P364*1.87)</f>
        <v>0</v>
      </c>
      <c r="R364" s="7"/>
      <c r="S364" s="7"/>
      <c r="T364" s="148"/>
      <c r="U364" s="240"/>
      <c r="V364" s="120"/>
      <c r="W364" s="120"/>
      <c r="X364" s="239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</row>
    <row r="365" spans="1:52" ht="15.75" customHeight="1" thickBot="1" x14ac:dyDescent="0.25">
      <c r="A365" s="7"/>
      <c r="B365" s="94"/>
      <c r="C365" s="94"/>
      <c r="D365" s="189" t="s">
        <v>0</v>
      </c>
      <c r="E365" s="756">
        <f>SUM(E355:E364)</f>
        <v>0</v>
      </c>
      <c r="F365" s="101"/>
      <c r="G365" s="189" t="s">
        <v>0</v>
      </c>
      <c r="H365" s="756">
        <f>SUM(H355:H364)</f>
        <v>0</v>
      </c>
      <c r="I365" s="101"/>
      <c r="J365" s="189" t="s">
        <v>0</v>
      </c>
      <c r="K365" s="756">
        <f>SUM(K355:K364)</f>
        <v>0</v>
      </c>
      <c r="L365" s="101"/>
      <c r="M365" s="189" t="s">
        <v>0</v>
      </c>
      <c r="N365" s="756">
        <f>SUM(N355:N364)</f>
        <v>0</v>
      </c>
      <c r="O365" s="101"/>
      <c r="P365" s="189" t="s">
        <v>0</v>
      </c>
      <c r="Q365" s="756">
        <f>SUM(Q355:Q364)</f>
        <v>0</v>
      </c>
      <c r="R365" s="7"/>
      <c r="S365" s="7"/>
      <c r="T365" s="148"/>
      <c r="U365" s="148"/>
      <c r="V365" s="148"/>
      <c r="W365" s="148"/>
      <c r="X365" s="148"/>
      <c r="Y365" s="148"/>
      <c r="Z365" s="148"/>
      <c r="AA365" s="148"/>
      <c r="AB365" s="148"/>
      <c r="AC365" s="148"/>
      <c r="AD365" s="148"/>
      <c r="AE365" s="148"/>
      <c r="AF365" s="148"/>
      <c r="AG365" s="148"/>
      <c r="AH365" s="148"/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</row>
    <row r="366" spans="1:52" ht="12.75" x14ac:dyDescent="0.2">
      <c r="A366" s="7"/>
      <c r="B366" s="94"/>
      <c r="C366" s="94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7"/>
      <c r="S366" s="7"/>
      <c r="T366" s="148"/>
      <c r="U366" s="148"/>
      <c r="V366" s="148"/>
      <c r="W366" s="14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/>
      <c r="AH366" s="148"/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</row>
    <row r="367" spans="1:52" ht="12.75" x14ac:dyDescent="0.2">
      <c r="A367" s="7"/>
      <c r="B367" s="94"/>
      <c r="C367" s="94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7"/>
      <c r="S367" s="7"/>
      <c r="T367" s="148"/>
      <c r="U367" s="148"/>
      <c r="V367" s="148"/>
      <c r="W367" s="14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/>
      <c r="AH367" s="148"/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</row>
    <row r="368" spans="1:52" ht="12.75" x14ac:dyDescent="0.2">
      <c r="A368" s="7"/>
      <c r="B368" s="25" t="s">
        <v>5</v>
      </c>
      <c r="C368" s="7" t="s">
        <v>20</v>
      </c>
      <c r="D368" s="7"/>
      <c r="E368" s="55"/>
      <c r="F368" s="55"/>
      <c r="G368" s="55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148"/>
      <c r="U368" s="148"/>
      <c r="V368" s="148"/>
      <c r="W368" s="148"/>
      <c r="X368" s="148"/>
      <c r="Y368" s="148"/>
      <c r="Z368" s="148"/>
      <c r="AA368" s="148"/>
      <c r="AB368" s="148"/>
      <c r="AC368" s="148"/>
      <c r="AD368" s="148"/>
      <c r="AE368" s="148"/>
      <c r="AF368" s="148"/>
      <c r="AG368" s="148"/>
      <c r="AH368" s="148"/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</row>
    <row r="369" spans="1:52" ht="12.75" x14ac:dyDescent="0.2">
      <c r="A369" s="7"/>
      <c r="B369" s="25" t="s">
        <v>6</v>
      </c>
      <c r="C369" s="7" t="s">
        <v>21</v>
      </c>
      <c r="D369" s="7"/>
      <c r="E369" s="55"/>
      <c r="F369" s="55"/>
      <c r="G369" s="55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148"/>
      <c r="U369" s="148"/>
      <c r="V369" s="148"/>
      <c r="W369" s="148"/>
      <c r="X369" s="148"/>
      <c r="Y369" s="148"/>
      <c r="Z369" s="148"/>
      <c r="AA369" s="148"/>
      <c r="AB369" s="148"/>
      <c r="AC369" s="148"/>
      <c r="AD369" s="148"/>
      <c r="AE369" s="148"/>
      <c r="AF369" s="148"/>
      <c r="AG369" s="148"/>
      <c r="AH369" s="148"/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</row>
    <row r="370" spans="1:52" ht="12.75" x14ac:dyDescent="0.2">
      <c r="A370" s="7"/>
      <c r="B370" s="25" t="s">
        <v>7</v>
      </c>
      <c r="C370" s="7" t="s">
        <v>22</v>
      </c>
      <c r="D370" s="7"/>
      <c r="E370" s="55"/>
      <c r="F370" s="55"/>
      <c r="G370" s="506" t="s">
        <v>27</v>
      </c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148"/>
      <c r="U370" s="148"/>
      <c r="V370" s="148"/>
      <c r="W370" s="148"/>
      <c r="X370" s="148"/>
      <c r="Y370" s="148"/>
      <c r="Z370" s="148"/>
      <c r="AA370" s="148"/>
      <c r="AB370" s="148"/>
      <c r="AC370" s="148"/>
      <c r="AD370" s="148"/>
      <c r="AE370" s="148"/>
      <c r="AF370" s="148"/>
      <c r="AG370" s="148"/>
      <c r="AH370" s="148"/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</row>
    <row r="371" spans="1:52" ht="12.75" x14ac:dyDescent="0.2">
      <c r="A371" s="7"/>
      <c r="B371" s="25" t="s">
        <v>8</v>
      </c>
      <c r="C371" s="7" t="s">
        <v>23</v>
      </c>
      <c r="D371" s="7"/>
      <c r="E371" s="55"/>
      <c r="F371" s="55"/>
      <c r="G371" s="826" t="s">
        <v>499</v>
      </c>
      <c r="H371" s="794" t="s">
        <v>457</v>
      </c>
      <c r="I371" s="794" t="s">
        <v>158</v>
      </c>
      <c r="J371" s="794" t="s">
        <v>0</v>
      </c>
      <c r="K371" s="828" t="s">
        <v>458</v>
      </c>
      <c r="L371" s="794" t="s">
        <v>158</v>
      </c>
      <c r="M371" s="794" t="s">
        <v>0</v>
      </c>
      <c r="N371" s="7"/>
      <c r="O371" s="7"/>
      <c r="P371" s="7"/>
      <c r="Q371" s="7"/>
      <c r="R371" s="7"/>
      <c r="S371" s="7"/>
      <c r="T371" s="148"/>
      <c r="U371" s="148"/>
      <c r="V371" s="148"/>
      <c r="W371" s="148"/>
      <c r="X371" s="148"/>
      <c r="Y371" s="148"/>
      <c r="Z371" s="148"/>
      <c r="AA371" s="148"/>
      <c r="AB371" s="148"/>
      <c r="AC371" s="148"/>
      <c r="AD371" s="148"/>
      <c r="AE371" s="148"/>
      <c r="AF371" s="148"/>
      <c r="AG371" s="148"/>
      <c r="AH371" s="148"/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</row>
    <row r="372" spans="1:52" ht="12.75" x14ac:dyDescent="0.2">
      <c r="A372" s="7"/>
      <c r="B372" s="25" t="s">
        <v>9</v>
      </c>
      <c r="C372" s="7" t="s">
        <v>24</v>
      </c>
      <c r="D372" s="7"/>
      <c r="E372" s="55"/>
      <c r="F372" s="55"/>
      <c r="G372" s="827"/>
      <c r="H372" s="795"/>
      <c r="I372" s="795"/>
      <c r="J372" s="795"/>
      <c r="K372" s="828"/>
      <c r="L372" s="795"/>
      <c r="M372" s="795"/>
      <c r="N372" s="7"/>
      <c r="O372" s="7"/>
      <c r="P372" s="7"/>
      <c r="Q372" s="7"/>
      <c r="R372" s="7"/>
      <c r="S372" s="7"/>
      <c r="T372" s="148"/>
      <c r="U372" s="148"/>
      <c r="V372" s="148"/>
      <c r="W372" s="148"/>
      <c r="X372" s="148"/>
      <c r="Y372" s="148"/>
      <c r="Z372" s="148"/>
      <c r="AA372" s="148"/>
      <c r="AB372" s="148"/>
      <c r="AC372" s="148"/>
      <c r="AD372" s="148"/>
      <c r="AE372" s="148"/>
      <c r="AF372" s="148"/>
      <c r="AG372" s="148"/>
      <c r="AH372" s="148"/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</row>
    <row r="373" spans="1:52" ht="12.75" x14ac:dyDescent="0.2">
      <c r="A373" s="7"/>
      <c r="B373" s="25" t="s">
        <v>56</v>
      </c>
      <c r="C373" s="7" t="s">
        <v>28</v>
      </c>
      <c r="D373" s="7"/>
      <c r="E373" s="55"/>
      <c r="F373" s="55"/>
      <c r="G373" s="664">
        <v>-12</v>
      </c>
      <c r="H373" s="15">
        <v>1.22</v>
      </c>
      <c r="I373" s="505">
        <f>SUM(Aksiaalipuhaltimet!Q133)</f>
        <v>0</v>
      </c>
      <c r="J373" s="28">
        <f>SUM(I373*H373)</f>
        <v>0</v>
      </c>
      <c r="K373" s="250">
        <v>-12</v>
      </c>
      <c r="L373" s="200">
        <f>SUM(Aksiaalipuhaltimet!Q143)</f>
        <v>0</v>
      </c>
      <c r="M373" s="64">
        <f>SUM(H373*L373)</f>
        <v>0</v>
      </c>
      <c r="N373" s="7"/>
      <c r="O373" s="7"/>
      <c r="P373" s="91"/>
      <c r="Q373" s="7"/>
      <c r="R373" s="7"/>
      <c r="S373" s="7"/>
      <c r="T373" s="148"/>
      <c r="U373" s="148"/>
      <c r="V373" s="148"/>
      <c r="W373" s="148"/>
      <c r="X373" s="148"/>
      <c r="Y373" s="148"/>
      <c r="Z373" s="148"/>
      <c r="AA373" s="148"/>
      <c r="AB373" s="148"/>
      <c r="AC373" s="148"/>
      <c r="AD373" s="148"/>
      <c r="AE373" s="148"/>
      <c r="AF373" s="148"/>
      <c r="AG373" s="148"/>
      <c r="AH373" s="148"/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</row>
    <row r="374" spans="1:52" ht="12.75" x14ac:dyDescent="0.2">
      <c r="A374" s="7"/>
      <c r="B374" s="25" t="s">
        <v>57</v>
      </c>
      <c r="C374" s="7" t="s">
        <v>25</v>
      </c>
      <c r="D374" s="7"/>
      <c r="E374" s="55"/>
      <c r="F374" s="55"/>
      <c r="G374" s="664">
        <v>-23</v>
      </c>
      <c r="H374" s="15">
        <v>1.92</v>
      </c>
      <c r="I374" s="505">
        <f>SUM(Aksiaalipuhaltimet!Q134)</f>
        <v>0</v>
      </c>
      <c r="J374" s="28">
        <f>SUM(I374*H374)</f>
        <v>0</v>
      </c>
      <c r="K374" s="201">
        <v>-23</v>
      </c>
      <c r="L374" s="200">
        <f>SUM(Aksiaalipuhaltimet!Q144)</f>
        <v>0</v>
      </c>
      <c r="M374" s="64">
        <f t="shared" ref="M374:M377" si="22">SUM(H374*L374)</f>
        <v>0</v>
      </c>
      <c r="N374" s="7"/>
      <c r="O374" s="7"/>
      <c r="P374" s="7"/>
      <c r="Q374" s="7"/>
      <c r="R374" s="7"/>
      <c r="S374" s="7"/>
      <c r="T374" s="148"/>
      <c r="U374" s="148"/>
      <c r="V374" s="148"/>
      <c r="W374" s="148"/>
      <c r="X374" s="148"/>
      <c r="Y374" s="148"/>
      <c r="Z374" s="148"/>
      <c r="AA374" s="148"/>
      <c r="AB374" s="148"/>
      <c r="AC374" s="148"/>
      <c r="AD374" s="148"/>
      <c r="AE374" s="148"/>
      <c r="AF374" s="148"/>
      <c r="AG374" s="148"/>
      <c r="AH374" s="148"/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</row>
    <row r="375" spans="1:52" ht="12.75" x14ac:dyDescent="0.2">
      <c r="A375" s="7"/>
      <c r="B375" s="25" t="s">
        <v>58</v>
      </c>
      <c r="C375" s="7" t="s">
        <v>134</v>
      </c>
      <c r="D375" s="7"/>
      <c r="E375" s="55"/>
      <c r="F375" s="55"/>
      <c r="G375" s="504">
        <v>-40</v>
      </c>
      <c r="H375" s="28">
        <v>2.44</v>
      </c>
      <c r="I375" s="505">
        <f>SUM(Aksiaalipuhaltimet!Q135)</f>
        <v>0</v>
      </c>
      <c r="J375" s="28">
        <f>SUM(I375*H375)</f>
        <v>0</v>
      </c>
      <c r="K375" s="504">
        <v>-40</v>
      </c>
      <c r="L375" s="200">
        <f>SUM(Aksiaalipuhaltimet!Q145)</f>
        <v>0</v>
      </c>
      <c r="M375" s="64">
        <f t="shared" si="22"/>
        <v>0</v>
      </c>
      <c r="N375" s="94"/>
      <c r="O375" s="94"/>
      <c r="P375" s="94"/>
      <c r="Q375" s="94"/>
      <c r="R375" s="7"/>
      <c r="S375" s="7"/>
      <c r="T375" s="148"/>
      <c r="U375" s="148"/>
      <c r="V375" s="148"/>
      <c r="W375" s="148"/>
      <c r="X375" s="148"/>
      <c r="Y375" s="148"/>
      <c r="Z375" s="148"/>
      <c r="AA375" s="148"/>
      <c r="AB375" s="148"/>
      <c r="AC375" s="148"/>
      <c r="AD375" s="148"/>
      <c r="AE375" s="148"/>
      <c r="AF375" s="148"/>
      <c r="AG375" s="148"/>
      <c r="AH375" s="148"/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</row>
    <row r="376" spans="1:52" ht="12.75" x14ac:dyDescent="0.2">
      <c r="A376" s="7"/>
      <c r="B376" s="25" t="s">
        <v>59</v>
      </c>
      <c r="C376" s="7" t="s">
        <v>46</v>
      </c>
      <c r="D376" s="7"/>
      <c r="E376" s="55"/>
      <c r="F376" s="55"/>
      <c r="G376" s="663" t="s">
        <v>500</v>
      </c>
      <c r="H376" s="28">
        <v>2.88</v>
      </c>
      <c r="I376" s="505">
        <f>SUM(Aksiaalipuhaltimet!Q136)</f>
        <v>0</v>
      </c>
      <c r="J376" s="28">
        <f>SUM(I376*H376)</f>
        <v>0</v>
      </c>
      <c r="K376" s="504">
        <v>-56</v>
      </c>
      <c r="L376" s="200">
        <f>SUM(Aksiaalipuhaltimet!Q146)</f>
        <v>0</v>
      </c>
      <c r="M376" s="64">
        <f t="shared" si="22"/>
        <v>0</v>
      </c>
      <c r="N376" s="94"/>
      <c r="O376" s="94"/>
      <c r="P376" s="94"/>
      <c r="Q376" s="94"/>
      <c r="R376" s="7"/>
      <c r="S376" s="7"/>
      <c r="T376" s="148"/>
      <c r="U376" s="148"/>
      <c r="V376" s="148"/>
      <c r="W376" s="148"/>
      <c r="X376" s="148"/>
      <c r="Y376" s="148"/>
      <c r="Z376" s="148"/>
      <c r="AA376" s="148"/>
      <c r="AB376" s="148"/>
      <c r="AC376" s="148"/>
      <c r="AD376" s="148"/>
      <c r="AE376" s="148"/>
      <c r="AF376" s="148"/>
      <c r="AG376" s="148"/>
      <c r="AH376" s="148"/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</row>
    <row r="377" spans="1:52" ht="12.75" x14ac:dyDescent="0.2">
      <c r="A377" s="7"/>
      <c r="B377" s="25" t="s">
        <v>60</v>
      </c>
      <c r="C377" s="7" t="s">
        <v>26</v>
      </c>
      <c r="D377" s="7"/>
      <c r="E377" s="55"/>
      <c r="F377" s="55"/>
      <c r="G377" s="663">
        <v>-71</v>
      </c>
      <c r="H377" s="28">
        <v>4.28</v>
      </c>
      <c r="I377" s="505">
        <f>SUM(Aksiaalipuhaltimet!Q137)</f>
        <v>0</v>
      </c>
      <c r="J377" s="28">
        <f>SUM(I377*H377)</f>
        <v>0</v>
      </c>
      <c r="K377" s="504">
        <v>-71</v>
      </c>
      <c r="L377" s="200">
        <f>SUM(Aksiaalipuhaltimet!Q147)</f>
        <v>0</v>
      </c>
      <c r="M377" s="64">
        <f t="shared" si="22"/>
        <v>0</v>
      </c>
      <c r="N377" s="94"/>
      <c r="O377" s="94"/>
      <c r="P377" s="94"/>
      <c r="Q377" s="94"/>
      <c r="R377" s="7"/>
      <c r="S377" s="7"/>
      <c r="T377" s="148"/>
      <c r="U377" s="148"/>
      <c r="V377" s="148"/>
      <c r="W377" s="148"/>
      <c r="X377" s="148"/>
      <c r="Y377" s="148"/>
      <c r="Z377" s="148"/>
      <c r="AA377" s="148"/>
      <c r="AB377" s="148"/>
      <c r="AC377" s="148"/>
      <c r="AD377" s="148"/>
      <c r="AE377" s="148"/>
      <c r="AF377" s="148"/>
      <c r="AG377" s="148"/>
      <c r="AH377" s="148"/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</row>
    <row r="378" spans="1:52" ht="13.5" thickBot="1" x14ac:dyDescent="0.25">
      <c r="A378" s="7"/>
      <c r="B378" s="7"/>
      <c r="C378" s="7"/>
      <c r="D378" s="7"/>
      <c r="E378" s="55"/>
      <c r="F378" s="55"/>
      <c r="G378" s="43"/>
      <c r="H378" s="43"/>
      <c r="I378" s="189" t="s">
        <v>0</v>
      </c>
      <c r="J378" s="756">
        <f>SUM(J373:J377)</f>
        <v>0</v>
      </c>
      <c r="K378" s="101"/>
      <c r="L378" s="189" t="s">
        <v>0</v>
      </c>
      <c r="M378" s="756">
        <f>SUM(M373:M377)</f>
        <v>0</v>
      </c>
      <c r="N378" s="94"/>
      <c r="O378" s="94"/>
      <c r="P378" s="94"/>
      <c r="Q378" s="94"/>
      <c r="R378" s="7"/>
      <c r="S378" s="7"/>
      <c r="T378" s="148"/>
      <c r="U378" s="148"/>
      <c r="V378" s="148"/>
      <c r="W378" s="14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/>
      <c r="AH378" s="148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</row>
    <row r="379" spans="1:52" ht="33.75" thickBot="1" x14ac:dyDescent="0.5">
      <c r="A379" s="7"/>
      <c r="B379" s="17"/>
      <c r="C379" s="17"/>
      <c r="D379" s="17"/>
      <c r="E379" s="25"/>
      <c r="F379" s="25"/>
      <c r="G379" s="87"/>
      <c r="H379" s="7"/>
      <c r="I379" s="190"/>
      <c r="J379" s="190"/>
      <c r="K379" s="7"/>
      <c r="L379" s="190"/>
      <c r="M379" s="190"/>
      <c r="N379" s="793"/>
      <c r="O379" s="793"/>
      <c r="P379" s="101" t="s">
        <v>220</v>
      </c>
      <c r="Q379" s="203" t="s">
        <v>0</v>
      </c>
      <c r="R379" s="762">
        <f>SUM(E365+H365+K365+N365+Q365+J378+M378)</f>
        <v>0</v>
      </c>
      <c r="S379" s="7"/>
      <c r="T379" s="148"/>
      <c r="U379" s="148"/>
      <c r="V379" s="148"/>
      <c r="W379" s="148"/>
      <c r="X379" s="148"/>
      <c r="Y379" s="148"/>
      <c r="Z379" s="148"/>
      <c r="AA379" s="148"/>
      <c r="AB379" s="148"/>
      <c r="AC379" s="148"/>
      <c r="AD379" s="148"/>
      <c r="AE379" s="148"/>
      <c r="AF379" s="148"/>
      <c r="AG379" s="148"/>
      <c r="AH379" s="148"/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</row>
    <row r="380" spans="1:52" ht="39.75" customHeight="1" x14ac:dyDescent="0.45">
      <c r="A380" s="7"/>
      <c r="B380" s="17"/>
      <c r="C380" s="17"/>
      <c r="D380" s="17"/>
      <c r="E380" s="25"/>
      <c r="F380" s="25"/>
      <c r="G380" s="8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148"/>
      <c r="U380" s="148"/>
      <c r="V380" s="148"/>
      <c r="W380" s="14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/>
      <c r="AH380" s="148"/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</row>
    <row r="381" spans="1:52" ht="1.5" hidden="1" customHeight="1" x14ac:dyDescent="0.45">
      <c r="A381" s="7"/>
      <c r="B381" s="17"/>
      <c r="C381" s="17"/>
      <c r="D381" s="17"/>
      <c r="E381" s="25"/>
      <c r="F381" s="25"/>
      <c r="G381" s="8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39"/>
      <c r="T381" s="148"/>
      <c r="U381" s="148"/>
      <c r="V381" s="148"/>
      <c r="W381" s="14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/>
      <c r="AH381" s="148"/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</row>
    <row r="382" spans="1:52" ht="33.75" customHeight="1" x14ac:dyDescent="0.45">
      <c r="A382" s="44" t="s">
        <v>517</v>
      </c>
      <c r="B382" s="17"/>
      <c r="C382" s="17"/>
      <c r="D382" s="17"/>
      <c r="E382" s="17"/>
      <c r="F382" s="25"/>
      <c r="G382" s="87"/>
      <c r="H382" s="454"/>
      <c r="I382" s="44" t="s">
        <v>492</v>
      </c>
      <c r="J382" s="7"/>
      <c r="K382" s="7"/>
      <c r="L382" s="7"/>
      <c r="M382" s="366" t="s">
        <v>234</v>
      </c>
      <c r="N382" s="7"/>
      <c r="O382" s="7"/>
      <c r="P382" s="7"/>
      <c r="Q382" s="7"/>
      <c r="R382" s="7"/>
      <c r="S382" s="7"/>
      <c r="T382" s="148"/>
      <c r="U382" s="148"/>
      <c r="V382" s="148"/>
      <c r="W382" s="148"/>
      <c r="X382" s="148"/>
      <c r="Y382" s="148"/>
      <c r="Z382" s="148"/>
      <c r="AA382" s="148"/>
      <c r="AB382" s="148"/>
      <c r="AC382" s="148"/>
      <c r="AD382" s="148"/>
      <c r="AE382" s="148"/>
      <c r="AF382" s="148"/>
      <c r="AG382" s="148"/>
      <c r="AH382" s="148"/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</row>
    <row r="383" spans="1:52" ht="24" customHeight="1" x14ac:dyDescent="0.45">
      <c r="A383" s="665" t="s">
        <v>502</v>
      </c>
      <c r="B383" s="17"/>
      <c r="C383" s="17"/>
      <c r="D383" s="17"/>
      <c r="E383" s="25"/>
      <c r="F383" s="25"/>
      <c r="G383" s="87"/>
      <c r="H383" s="7"/>
      <c r="I383" s="68"/>
      <c r="J383" s="68"/>
      <c r="K383" s="7"/>
      <c r="L383" s="7"/>
      <c r="M383" s="7"/>
      <c r="N383" s="7"/>
      <c r="O383" s="7"/>
      <c r="P383" s="7"/>
      <c r="Q383" s="7"/>
      <c r="R383" s="642"/>
      <c r="S383" s="7"/>
      <c r="T383" s="148"/>
      <c r="U383" s="148"/>
      <c r="V383" s="148"/>
      <c r="W383" s="148"/>
      <c r="X383" s="148"/>
      <c r="Y383" s="148"/>
      <c r="Z383" s="148"/>
      <c r="AA383" s="148"/>
      <c r="AB383" s="148"/>
      <c r="AC383" s="148"/>
      <c r="AD383" s="148"/>
      <c r="AE383" s="148"/>
      <c r="AF383" s="148"/>
      <c r="AG383" s="148"/>
      <c r="AH383" s="148"/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</row>
    <row r="384" spans="1:52" ht="15.75" customHeight="1" x14ac:dyDescent="0.2">
      <c r="A384" s="91" t="s">
        <v>238</v>
      </c>
      <c r="B384" s="17"/>
      <c r="C384" s="17"/>
      <c r="D384" s="17"/>
      <c r="E384" s="17"/>
      <c r="F384" s="32" t="s">
        <v>237</v>
      </c>
      <c r="G384" s="84">
        <v>0.1</v>
      </c>
      <c r="H384" s="7"/>
      <c r="I384" s="68" t="s">
        <v>476</v>
      </c>
      <c r="J384" s="7"/>
      <c r="K384" s="7"/>
      <c r="L384" s="7"/>
      <c r="M384" s="7"/>
      <c r="N384" s="7"/>
      <c r="O384" s="7"/>
      <c r="P384" s="7"/>
      <c r="Q384" s="83" t="s">
        <v>237</v>
      </c>
      <c r="R384" s="82">
        <v>0.2</v>
      </c>
      <c r="S384" s="7"/>
      <c r="T384" s="148"/>
      <c r="U384" s="148"/>
      <c r="V384" s="148"/>
      <c r="W384" s="14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/>
      <c r="AH384" s="148"/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</row>
    <row r="385" spans="1:52" ht="15.75" customHeight="1" x14ac:dyDescent="0.2">
      <c r="A385" s="91" t="s">
        <v>243</v>
      </c>
      <c r="B385" s="17"/>
      <c r="C385" s="17"/>
      <c r="D385" s="17"/>
      <c r="E385" s="17"/>
      <c r="F385" s="25"/>
      <c r="G385" s="85"/>
      <c r="H385" s="7"/>
      <c r="I385" s="68" t="s">
        <v>235</v>
      </c>
      <c r="J385" s="68"/>
      <c r="K385" s="68"/>
      <c r="L385" s="68"/>
      <c r="M385" s="7"/>
      <c r="N385" s="7"/>
      <c r="O385" s="7"/>
      <c r="P385" s="7"/>
      <c r="Q385" s="83" t="s">
        <v>237</v>
      </c>
      <c r="R385" s="82">
        <v>0.3</v>
      </c>
      <c r="S385" s="7"/>
      <c r="T385" s="148"/>
      <c r="U385" s="148"/>
      <c r="V385" s="148"/>
      <c r="W385" s="148"/>
      <c r="X385" s="148"/>
      <c r="Y385" s="148"/>
      <c r="Z385" s="148"/>
      <c r="AA385" s="148"/>
      <c r="AB385" s="148"/>
      <c r="AC385" s="148"/>
      <c r="AD385" s="148"/>
      <c r="AE385" s="148"/>
      <c r="AF385" s="148"/>
      <c r="AG385" s="148"/>
      <c r="AH385" s="148"/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</row>
    <row r="386" spans="1:52" ht="15.75" customHeight="1" x14ac:dyDescent="0.2">
      <c r="A386" s="7" t="s">
        <v>244</v>
      </c>
      <c r="B386" s="17"/>
      <c r="C386" s="17"/>
      <c r="D386" s="17"/>
      <c r="E386" s="17"/>
      <c r="F386" s="32" t="s">
        <v>237</v>
      </c>
      <c r="G386" s="84">
        <v>0.16</v>
      </c>
      <c r="H386" s="7"/>
      <c r="I386" s="7" t="s">
        <v>421</v>
      </c>
      <c r="J386" s="7"/>
      <c r="K386" s="7"/>
      <c r="L386" s="7"/>
      <c r="M386" s="7"/>
      <c r="N386" s="7"/>
      <c r="O386" s="7"/>
      <c r="P386" s="91" t="s">
        <v>480</v>
      </c>
      <c r="Q386" s="83" t="s">
        <v>237</v>
      </c>
      <c r="R386" s="82">
        <v>0.5</v>
      </c>
      <c r="S386" s="7"/>
      <c r="T386" s="148"/>
      <c r="U386" s="148"/>
      <c r="V386" s="148"/>
      <c r="W386" s="148"/>
      <c r="X386" s="148"/>
      <c r="Y386" s="148"/>
      <c r="Z386" s="148"/>
      <c r="AA386" s="148"/>
      <c r="AB386" s="148"/>
      <c r="AC386" s="148"/>
      <c r="AD386" s="148"/>
      <c r="AE386" s="148"/>
      <c r="AF386" s="148"/>
      <c r="AG386" s="148"/>
      <c r="AH386" s="148"/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</row>
    <row r="387" spans="1:52" ht="15.75" customHeight="1" x14ac:dyDescent="0.2">
      <c r="A387" s="91" t="s">
        <v>239</v>
      </c>
      <c r="B387" s="17"/>
      <c r="C387" s="17"/>
      <c r="D387" s="17"/>
      <c r="E387" s="17"/>
      <c r="F387" s="32" t="s">
        <v>237</v>
      </c>
      <c r="G387" s="84">
        <v>0.2</v>
      </c>
      <c r="H387" s="7"/>
      <c r="I387" s="7" t="s">
        <v>421</v>
      </c>
      <c r="J387" s="7"/>
      <c r="K387" s="7"/>
      <c r="L387" s="7"/>
      <c r="M387" s="7"/>
      <c r="N387" s="7"/>
      <c r="O387" s="7"/>
      <c r="P387" s="91" t="s">
        <v>479</v>
      </c>
      <c r="Q387" s="83" t="s">
        <v>237</v>
      </c>
      <c r="R387" s="82">
        <v>0.25</v>
      </c>
      <c r="S387" s="7"/>
      <c r="T387" s="148"/>
      <c r="U387" s="148"/>
      <c r="V387" s="148"/>
      <c r="W387" s="14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/>
      <c r="AH387" s="148"/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</row>
    <row r="388" spans="1:52" ht="15.75" customHeight="1" x14ac:dyDescent="0.2">
      <c r="A388" s="68" t="s">
        <v>503</v>
      </c>
      <c r="B388" s="7"/>
      <c r="C388" s="17"/>
      <c r="D388" s="17"/>
      <c r="E388" s="17"/>
      <c r="F388" s="32"/>
      <c r="G388" s="84"/>
      <c r="H388" s="25"/>
      <c r="I388" s="91" t="s">
        <v>236</v>
      </c>
      <c r="J388" s="7"/>
      <c r="K388" s="7"/>
      <c r="L388" s="7"/>
      <c r="M388" s="7"/>
      <c r="N388" s="7"/>
      <c r="O388" s="7"/>
      <c r="P388" s="91" t="s">
        <v>477</v>
      </c>
      <c r="Q388" s="83" t="s">
        <v>237</v>
      </c>
      <c r="R388" s="82">
        <v>0.25</v>
      </c>
      <c r="S388" s="7"/>
      <c r="T388" s="148"/>
      <c r="U388" s="148"/>
      <c r="V388" s="148"/>
      <c r="W388" s="14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/>
      <c r="AH388" s="148"/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</row>
    <row r="389" spans="1:52" ht="16.5" customHeight="1" x14ac:dyDescent="0.2">
      <c r="A389" s="91" t="s">
        <v>505</v>
      </c>
      <c r="B389" s="7"/>
      <c r="C389" s="17"/>
      <c r="D389" s="17"/>
      <c r="E389" s="17"/>
      <c r="F389" s="107" t="s">
        <v>237</v>
      </c>
      <c r="G389" s="84">
        <v>0.15</v>
      </c>
      <c r="H389" s="25"/>
      <c r="I389" s="7" t="s">
        <v>236</v>
      </c>
      <c r="J389" s="7"/>
      <c r="K389" s="7"/>
      <c r="L389" s="7"/>
      <c r="M389" s="7"/>
      <c r="N389" s="7"/>
      <c r="O389" s="7"/>
      <c r="P389" s="91" t="s">
        <v>478</v>
      </c>
      <c r="Q389" s="83" t="s">
        <v>237</v>
      </c>
      <c r="R389" s="82">
        <v>0.5</v>
      </c>
      <c r="S389" s="7"/>
      <c r="T389" s="148"/>
      <c r="U389" s="148"/>
      <c r="V389" s="148"/>
      <c r="W389" s="14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/>
      <c r="AH389" s="148"/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</row>
    <row r="390" spans="1:52" ht="15.75" customHeight="1" x14ac:dyDescent="0.2">
      <c r="A390" s="91" t="s">
        <v>504</v>
      </c>
      <c r="B390" s="17"/>
      <c r="C390" s="17"/>
      <c r="D390" s="17"/>
      <c r="E390" s="17"/>
      <c r="F390" s="107" t="s">
        <v>237</v>
      </c>
      <c r="G390" s="666">
        <v>0.3</v>
      </c>
      <c r="H390" s="25"/>
      <c r="S390" s="7"/>
      <c r="T390" s="148"/>
      <c r="U390" s="148"/>
      <c r="V390" s="148"/>
      <c r="W390" s="14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/>
      <c r="AH390" s="148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</row>
    <row r="391" spans="1:52" ht="15.75" customHeight="1" x14ac:dyDescent="0.45">
      <c r="A391" s="44"/>
      <c r="B391" s="17"/>
      <c r="C391" s="17"/>
      <c r="D391" s="17"/>
      <c r="E391" s="17"/>
      <c r="F391" s="25"/>
      <c r="G391" s="87"/>
      <c r="H391" s="25"/>
      <c r="S391" s="7"/>
      <c r="T391" s="148"/>
      <c r="U391" s="148"/>
      <c r="V391" s="148"/>
      <c r="W391" s="14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</row>
    <row r="392" spans="1:52" ht="21" customHeight="1" x14ac:dyDescent="0.45">
      <c r="A392" s="7"/>
      <c r="B392" s="17"/>
      <c r="C392" s="17"/>
      <c r="D392" s="17"/>
      <c r="E392" s="7"/>
      <c r="F392" s="25"/>
      <c r="G392" s="8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148"/>
      <c r="U392" s="148"/>
      <c r="V392" s="148"/>
      <c r="W392" s="14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</row>
    <row r="393" spans="1:52" ht="12.75" x14ac:dyDescent="0.2">
      <c r="A393" s="68" t="s">
        <v>394</v>
      </c>
      <c r="B393" s="17"/>
      <c r="C393" s="17"/>
      <c r="D393" s="17"/>
      <c r="E393" s="25"/>
      <c r="F393" s="25"/>
      <c r="G393" s="6" t="s">
        <v>224</v>
      </c>
      <c r="H393" s="93" t="s">
        <v>223</v>
      </c>
      <c r="I393" s="21" t="s">
        <v>250</v>
      </c>
      <c r="J393" s="21" t="s">
        <v>0</v>
      </c>
      <c r="K393" s="165" t="s">
        <v>394</v>
      </c>
      <c r="L393" s="22"/>
      <c r="M393" s="22"/>
      <c r="N393" s="22"/>
      <c r="O393" s="7"/>
      <c r="P393" s="92" t="s">
        <v>224</v>
      </c>
      <c r="Q393" s="21" t="s">
        <v>225</v>
      </c>
      <c r="R393" s="21" t="s">
        <v>390</v>
      </c>
      <c r="S393" s="25" t="s">
        <v>0</v>
      </c>
      <c r="T393" s="148"/>
      <c r="U393" s="148"/>
      <c r="V393" s="148"/>
      <c r="W393" s="14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/>
      <c r="AH393" s="148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</row>
    <row r="394" spans="1:52" ht="12.75" x14ac:dyDescent="0.2">
      <c r="A394" s="768"/>
      <c r="B394" s="769"/>
      <c r="C394" s="769"/>
      <c r="D394" s="769"/>
      <c r="E394" s="769"/>
      <c r="F394" s="770"/>
      <c r="G394" s="474"/>
      <c r="H394" s="372"/>
      <c r="I394" s="409">
        <v>0</v>
      </c>
      <c r="J394" s="371">
        <f>SUM(G394*H394*I394%)</f>
        <v>0</v>
      </c>
      <c r="K394" s="765"/>
      <c r="L394" s="766"/>
      <c r="M394" s="766"/>
      <c r="N394" s="766"/>
      <c r="O394" s="767"/>
      <c r="P394" s="475"/>
      <c r="Q394" s="379"/>
      <c r="R394" s="455">
        <v>0</v>
      </c>
      <c r="S394" s="108">
        <f>SUM(P394*Q394*R394%)</f>
        <v>0</v>
      </c>
      <c r="T394" s="148"/>
      <c r="U394" s="148"/>
      <c r="V394" s="148"/>
      <c r="W394" s="14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</row>
    <row r="395" spans="1:52" ht="12.75" x14ac:dyDescent="0.2">
      <c r="A395" s="768"/>
      <c r="B395" s="769"/>
      <c r="C395" s="769"/>
      <c r="D395" s="769"/>
      <c r="E395" s="769"/>
      <c r="F395" s="770"/>
      <c r="G395" s="474"/>
      <c r="H395" s="373"/>
      <c r="I395" s="410">
        <v>0</v>
      </c>
      <c r="J395" s="108">
        <f>SUM(G395*H395*I395%)</f>
        <v>0</v>
      </c>
      <c r="K395" s="765"/>
      <c r="L395" s="766"/>
      <c r="M395" s="766"/>
      <c r="N395" s="766"/>
      <c r="O395" s="767"/>
      <c r="P395" s="476"/>
      <c r="Q395" s="375"/>
      <c r="R395" s="456">
        <v>0</v>
      </c>
      <c r="S395" s="108">
        <f>SUM(P395*Q395*R395%)</f>
        <v>0</v>
      </c>
      <c r="T395" s="148"/>
      <c r="U395" s="148"/>
      <c r="V395" s="148"/>
      <c r="W395" s="14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</row>
    <row r="396" spans="1:52" ht="12.75" x14ac:dyDescent="0.2">
      <c r="A396" s="768"/>
      <c r="B396" s="769"/>
      <c r="C396" s="769"/>
      <c r="D396" s="769"/>
      <c r="E396" s="769"/>
      <c r="F396" s="770"/>
      <c r="G396" s="474"/>
      <c r="H396" s="373"/>
      <c r="I396" s="410">
        <v>0</v>
      </c>
      <c r="J396" s="371">
        <f>SUM(G396*H396*I396%)</f>
        <v>0</v>
      </c>
      <c r="K396" s="765"/>
      <c r="L396" s="766"/>
      <c r="M396" s="766"/>
      <c r="N396" s="766"/>
      <c r="O396" s="767"/>
      <c r="P396" s="477"/>
      <c r="Q396" s="375"/>
      <c r="R396" s="456">
        <v>0</v>
      </c>
      <c r="S396" s="108">
        <f t="shared" ref="S396:S410" si="23">SUM(P396*Q396*R396%)</f>
        <v>0</v>
      </c>
      <c r="T396" s="148"/>
      <c r="U396" s="148"/>
      <c r="V396" s="148"/>
      <c r="W396" s="14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</row>
    <row r="397" spans="1:52" ht="12.75" x14ac:dyDescent="0.2">
      <c r="A397" s="768"/>
      <c r="B397" s="769"/>
      <c r="C397" s="769"/>
      <c r="D397" s="769"/>
      <c r="E397" s="769"/>
      <c r="F397" s="770"/>
      <c r="G397" s="474"/>
      <c r="H397" s="373"/>
      <c r="I397" s="410">
        <v>0</v>
      </c>
      <c r="J397" s="108">
        <f t="shared" ref="J397:J409" si="24">SUM(G397*H397*I397%)</f>
        <v>0</v>
      </c>
      <c r="K397" s="765"/>
      <c r="L397" s="766"/>
      <c r="M397" s="766"/>
      <c r="N397" s="766"/>
      <c r="O397" s="767"/>
      <c r="P397" s="476"/>
      <c r="Q397" s="375"/>
      <c r="R397" s="456">
        <v>0</v>
      </c>
      <c r="S397" s="108">
        <f t="shared" si="23"/>
        <v>0</v>
      </c>
      <c r="T397" s="148"/>
      <c r="U397" s="148"/>
      <c r="V397" s="148"/>
      <c r="W397" s="14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</row>
    <row r="398" spans="1:52" ht="12.75" x14ac:dyDescent="0.2">
      <c r="A398" s="768"/>
      <c r="B398" s="769"/>
      <c r="C398" s="769"/>
      <c r="D398" s="769"/>
      <c r="E398" s="769"/>
      <c r="F398" s="770"/>
      <c r="G398" s="474"/>
      <c r="H398" s="373"/>
      <c r="I398" s="410">
        <v>0</v>
      </c>
      <c r="J398" s="371">
        <f t="shared" si="24"/>
        <v>0</v>
      </c>
      <c r="K398" s="765"/>
      <c r="L398" s="766"/>
      <c r="M398" s="766"/>
      <c r="N398" s="766"/>
      <c r="O398" s="767"/>
      <c r="P398" s="477"/>
      <c r="Q398" s="375"/>
      <c r="R398" s="456">
        <v>0</v>
      </c>
      <c r="S398" s="108">
        <f t="shared" si="23"/>
        <v>0</v>
      </c>
      <c r="T398" s="148"/>
      <c r="U398" s="148"/>
      <c r="V398" s="148"/>
      <c r="W398" s="14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</row>
    <row r="399" spans="1:52" ht="12.75" x14ac:dyDescent="0.2">
      <c r="A399" s="768"/>
      <c r="B399" s="769"/>
      <c r="C399" s="769"/>
      <c r="D399" s="769"/>
      <c r="E399" s="769"/>
      <c r="F399" s="770"/>
      <c r="G399" s="474"/>
      <c r="H399" s="373"/>
      <c r="I399" s="410">
        <v>0</v>
      </c>
      <c r="J399" s="108">
        <f t="shared" si="24"/>
        <v>0</v>
      </c>
      <c r="K399" s="765"/>
      <c r="L399" s="766"/>
      <c r="M399" s="766"/>
      <c r="N399" s="766"/>
      <c r="O399" s="767"/>
      <c r="P399" s="476"/>
      <c r="Q399" s="375"/>
      <c r="R399" s="456">
        <v>0</v>
      </c>
      <c r="S399" s="108">
        <f t="shared" si="23"/>
        <v>0</v>
      </c>
      <c r="T399" s="148"/>
      <c r="U399" s="148"/>
      <c r="V399" s="148"/>
      <c r="W399" s="14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</row>
    <row r="400" spans="1:52" ht="12.75" x14ac:dyDescent="0.2">
      <c r="A400" s="768"/>
      <c r="B400" s="769"/>
      <c r="C400" s="769"/>
      <c r="D400" s="769"/>
      <c r="E400" s="769"/>
      <c r="F400" s="770"/>
      <c r="G400" s="474"/>
      <c r="H400" s="373"/>
      <c r="I400" s="410">
        <v>0</v>
      </c>
      <c r="J400" s="371">
        <f t="shared" si="24"/>
        <v>0</v>
      </c>
      <c r="K400" s="765"/>
      <c r="L400" s="766"/>
      <c r="M400" s="766"/>
      <c r="N400" s="766"/>
      <c r="O400" s="767"/>
      <c r="P400" s="477"/>
      <c r="Q400" s="375"/>
      <c r="R400" s="456">
        <v>0</v>
      </c>
      <c r="S400" s="108">
        <f t="shared" si="23"/>
        <v>0</v>
      </c>
      <c r="T400" s="148"/>
      <c r="U400" s="148"/>
      <c r="V400" s="148"/>
      <c r="W400" s="14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/>
      <c r="AH400" s="148"/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</row>
    <row r="401" spans="1:52" ht="12.75" x14ac:dyDescent="0.2">
      <c r="A401" s="768"/>
      <c r="B401" s="769"/>
      <c r="C401" s="769"/>
      <c r="D401" s="769"/>
      <c r="E401" s="769"/>
      <c r="F401" s="770"/>
      <c r="G401" s="474"/>
      <c r="H401" s="373"/>
      <c r="I401" s="410">
        <v>0</v>
      </c>
      <c r="J401" s="108">
        <f t="shared" si="24"/>
        <v>0</v>
      </c>
      <c r="K401" s="765"/>
      <c r="L401" s="766"/>
      <c r="M401" s="766"/>
      <c r="N401" s="766"/>
      <c r="O401" s="767"/>
      <c r="P401" s="476"/>
      <c r="Q401" s="375"/>
      <c r="R401" s="456">
        <v>0</v>
      </c>
      <c r="S401" s="108">
        <f t="shared" si="23"/>
        <v>0</v>
      </c>
      <c r="T401" s="148"/>
      <c r="U401" s="148"/>
      <c r="V401" s="148"/>
      <c r="W401" s="14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</row>
    <row r="402" spans="1:52" ht="12.75" x14ac:dyDescent="0.2">
      <c r="A402" s="768"/>
      <c r="B402" s="769"/>
      <c r="C402" s="769"/>
      <c r="D402" s="769"/>
      <c r="E402" s="769"/>
      <c r="F402" s="770"/>
      <c r="G402" s="474"/>
      <c r="H402" s="373"/>
      <c r="I402" s="410">
        <v>0</v>
      </c>
      <c r="J402" s="371">
        <f t="shared" si="24"/>
        <v>0</v>
      </c>
      <c r="K402" s="765"/>
      <c r="L402" s="766"/>
      <c r="M402" s="766"/>
      <c r="N402" s="766"/>
      <c r="O402" s="767"/>
      <c r="P402" s="477"/>
      <c r="Q402" s="375"/>
      <c r="R402" s="456">
        <v>0</v>
      </c>
      <c r="S402" s="108">
        <f t="shared" si="23"/>
        <v>0</v>
      </c>
      <c r="T402" s="148"/>
      <c r="U402" s="148"/>
      <c r="V402" s="148"/>
      <c r="W402" s="14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/>
      <c r="AH402" s="148"/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</row>
    <row r="403" spans="1:52" ht="12.75" x14ac:dyDescent="0.2">
      <c r="A403" s="768"/>
      <c r="B403" s="769"/>
      <c r="C403" s="769"/>
      <c r="D403" s="769"/>
      <c r="E403" s="769"/>
      <c r="F403" s="770"/>
      <c r="G403" s="474"/>
      <c r="H403" s="373"/>
      <c r="I403" s="410">
        <v>0</v>
      </c>
      <c r="J403" s="108">
        <f t="shared" si="24"/>
        <v>0</v>
      </c>
      <c r="K403" s="765"/>
      <c r="L403" s="766"/>
      <c r="M403" s="766"/>
      <c r="N403" s="766"/>
      <c r="O403" s="767"/>
      <c r="P403" s="476"/>
      <c r="Q403" s="375"/>
      <c r="R403" s="456">
        <v>0</v>
      </c>
      <c r="S403" s="108">
        <f t="shared" si="23"/>
        <v>0</v>
      </c>
      <c r="T403" s="148"/>
      <c r="U403" s="148"/>
      <c r="V403" s="148"/>
      <c r="W403" s="14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/>
      <c r="AH403" s="148"/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</row>
    <row r="404" spans="1:52" ht="12.75" x14ac:dyDescent="0.2">
      <c r="A404" s="768"/>
      <c r="B404" s="769"/>
      <c r="C404" s="769"/>
      <c r="D404" s="769"/>
      <c r="E404" s="769"/>
      <c r="F404" s="770"/>
      <c r="G404" s="474"/>
      <c r="H404" s="373"/>
      <c r="I404" s="410">
        <v>0</v>
      </c>
      <c r="J404" s="371">
        <f t="shared" si="24"/>
        <v>0</v>
      </c>
      <c r="K404" s="765"/>
      <c r="L404" s="766"/>
      <c r="M404" s="766"/>
      <c r="N404" s="766"/>
      <c r="O404" s="767"/>
      <c r="P404" s="477"/>
      <c r="Q404" s="375"/>
      <c r="R404" s="456">
        <v>0</v>
      </c>
      <c r="S404" s="108">
        <f t="shared" si="23"/>
        <v>0</v>
      </c>
      <c r="T404" s="148"/>
      <c r="U404" s="148"/>
      <c r="V404" s="148"/>
      <c r="W404" s="14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/>
      <c r="AH404" s="148"/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</row>
    <row r="405" spans="1:52" ht="12.75" x14ac:dyDescent="0.2">
      <c r="A405" s="768"/>
      <c r="B405" s="769"/>
      <c r="C405" s="769"/>
      <c r="D405" s="769"/>
      <c r="E405" s="769"/>
      <c r="F405" s="770"/>
      <c r="G405" s="474"/>
      <c r="H405" s="373"/>
      <c r="I405" s="410">
        <v>0</v>
      </c>
      <c r="J405" s="108">
        <f t="shared" si="24"/>
        <v>0</v>
      </c>
      <c r="K405" s="765"/>
      <c r="L405" s="766"/>
      <c r="M405" s="766"/>
      <c r="N405" s="766"/>
      <c r="O405" s="767"/>
      <c r="P405" s="476"/>
      <c r="Q405" s="375"/>
      <c r="R405" s="456">
        <v>0</v>
      </c>
      <c r="S405" s="108">
        <f t="shared" si="23"/>
        <v>0</v>
      </c>
      <c r="T405" s="148"/>
      <c r="U405" s="148"/>
      <c r="V405" s="148"/>
      <c r="W405" s="14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/>
      <c r="AH405" s="148"/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</row>
    <row r="406" spans="1:52" ht="12.75" x14ac:dyDescent="0.2">
      <c r="A406" s="768"/>
      <c r="B406" s="769"/>
      <c r="C406" s="769"/>
      <c r="D406" s="769"/>
      <c r="E406" s="769"/>
      <c r="F406" s="770"/>
      <c r="G406" s="474"/>
      <c r="H406" s="373"/>
      <c r="I406" s="410">
        <v>0</v>
      </c>
      <c r="J406" s="371">
        <f t="shared" si="24"/>
        <v>0</v>
      </c>
      <c r="K406" s="765"/>
      <c r="L406" s="766"/>
      <c r="M406" s="766"/>
      <c r="N406" s="766"/>
      <c r="O406" s="767"/>
      <c r="P406" s="477"/>
      <c r="Q406" s="375"/>
      <c r="R406" s="456">
        <v>0</v>
      </c>
      <c r="S406" s="108">
        <f t="shared" si="23"/>
        <v>0</v>
      </c>
      <c r="T406" s="148"/>
      <c r="U406" s="148"/>
      <c r="V406" s="148"/>
      <c r="W406" s="14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/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</row>
    <row r="407" spans="1:52" ht="12.75" x14ac:dyDescent="0.2">
      <c r="A407" s="768"/>
      <c r="B407" s="769"/>
      <c r="C407" s="769"/>
      <c r="D407" s="769"/>
      <c r="E407" s="769"/>
      <c r="F407" s="770"/>
      <c r="G407" s="474"/>
      <c r="H407" s="373"/>
      <c r="I407" s="410">
        <v>0</v>
      </c>
      <c r="J407" s="108">
        <f t="shared" si="24"/>
        <v>0</v>
      </c>
      <c r="K407" s="765"/>
      <c r="L407" s="766"/>
      <c r="M407" s="766"/>
      <c r="N407" s="766"/>
      <c r="O407" s="767"/>
      <c r="P407" s="476"/>
      <c r="Q407" s="375"/>
      <c r="R407" s="456">
        <v>0</v>
      </c>
      <c r="S407" s="108">
        <f t="shared" si="23"/>
        <v>0</v>
      </c>
      <c r="T407" s="148"/>
      <c r="U407" s="148"/>
      <c r="V407" s="148"/>
      <c r="W407" s="14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</row>
    <row r="408" spans="1:52" ht="12.75" x14ac:dyDescent="0.2">
      <c r="A408" s="768"/>
      <c r="B408" s="769"/>
      <c r="C408" s="769"/>
      <c r="D408" s="769"/>
      <c r="E408" s="769"/>
      <c r="F408" s="770"/>
      <c r="G408" s="474"/>
      <c r="H408" s="373"/>
      <c r="I408" s="410">
        <v>0</v>
      </c>
      <c r="J408" s="371">
        <f t="shared" si="24"/>
        <v>0</v>
      </c>
      <c r="K408" s="765"/>
      <c r="L408" s="766"/>
      <c r="M408" s="766"/>
      <c r="N408" s="766"/>
      <c r="O408" s="767"/>
      <c r="P408" s="477"/>
      <c r="Q408" s="375"/>
      <c r="R408" s="456">
        <v>0</v>
      </c>
      <c r="S408" s="108">
        <f t="shared" si="23"/>
        <v>0</v>
      </c>
      <c r="T408" s="148"/>
      <c r="U408" s="148"/>
      <c r="V408" s="148"/>
      <c r="W408" s="14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</row>
    <row r="409" spans="1:52" ht="12.75" x14ac:dyDescent="0.2">
      <c r="A409" s="768"/>
      <c r="B409" s="769"/>
      <c r="C409" s="769"/>
      <c r="D409" s="769"/>
      <c r="E409" s="769"/>
      <c r="F409" s="770"/>
      <c r="G409" s="474"/>
      <c r="H409" s="373"/>
      <c r="I409" s="410">
        <v>0</v>
      </c>
      <c r="J409" s="108">
        <f t="shared" si="24"/>
        <v>0</v>
      </c>
      <c r="K409" s="765"/>
      <c r="L409" s="766"/>
      <c r="M409" s="766"/>
      <c r="N409" s="766"/>
      <c r="O409" s="767"/>
      <c r="P409" s="476"/>
      <c r="Q409" s="375"/>
      <c r="R409" s="456">
        <v>0</v>
      </c>
      <c r="S409" s="108">
        <f t="shared" si="23"/>
        <v>0</v>
      </c>
      <c r="T409" s="148"/>
      <c r="U409" s="148"/>
      <c r="V409" s="148"/>
      <c r="W409" s="14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</row>
    <row r="410" spans="1:52" ht="12.75" x14ac:dyDescent="0.2">
      <c r="A410" s="768"/>
      <c r="B410" s="769"/>
      <c r="C410" s="769"/>
      <c r="D410" s="769"/>
      <c r="E410" s="769"/>
      <c r="F410" s="770"/>
      <c r="G410" s="474"/>
      <c r="H410" s="373"/>
      <c r="I410" s="410">
        <v>0</v>
      </c>
      <c r="J410" s="371">
        <f>SUM(G410*H410*I410%)</f>
        <v>0</v>
      </c>
      <c r="K410" s="765"/>
      <c r="L410" s="766"/>
      <c r="M410" s="766"/>
      <c r="N410" s="766"/>
      <c r="O410" s="767"/>
      <c r="P410" s="478"/>
      <c r="Q410" s="375"/>
      <c r="R410" s="456">
        <v>0</v>
      </c>
      <c r="S410" s="108">
        <f t="shared" si="23"/>
        <v>0</v>
      </c>
      <c r="T410" s="148"/>
      <c r="U410" s="148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</row>
    <row r="411" spans="1:52" ht="20.25" customHeight="1" thickBot="1" x14ac:dyDescent="0.5">
      <c r="A411" s="7"/>
      <c r="B411" s="17"/>
      <c r="C411" s="17"/>
      <c r="D411" s="17"/>
      <c r="E411" s="25"/>
      <c r="F411" s="25"/>
      <c r="G411" s="87"/>
      <c r="H411" s="25"/>
      <c r="I411" s="100" t="s">
        <v>0</v>
      </c>
      <c r="J411" s="758">
        <f>SUM(J394:J410)</f>
        <v>0</v>
      </c>
      <c r="K411" s="100"/>
      <c r="L411" s="100"/>
      <c r="M411" s="100"/>
      <c r="N411" s="100"/>
      <c r="O411" s="100"/>
      <c r="P411" s="100"/>
      <c r="Q411" s="100"/>
      <c r="R411" s="100" t="s">
        <v>0</v>
      </c>
      <c r="S411" s="758">
        <f>SUM(S394:S410)</f>
        <v>0</v>
      </c>
      <c r="T411" s="148"/>
      <c r="U411" s="148"/>
      <c r="V411" s="148"/>
      <c r="W411" s="14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</row>
    <row r="412" spans="1:52" ht="31.5" customHeight="1" thickBot="1" x14ac:dyDescent="0.5">
      <c r="A412" s="7"/>
      <c r="B412" s="17"/>
      <c r="C412" s="17"/>
      <c r="D412" s="17"/>
      <c r="E412" s="25"/>
      <c r="F412" s="25"/>
      <c r="G412" s="87"/>
      <c r="H412" s="25"/>
      <c r="I412" s="25"/>
      <c r="J412" s="7"/>
      <c r="K412" s="7"/>
      <c r="L412" s="7"/>
      <c r="M412" s="68"/>
      <c r="N412" s="68"/>
      <c r="O412" s="99" t="s">
        <v>251</v>
      </c>
      <c r="P412" s="100" t="s">
        <v>220</v>
      </c>
      <c r="Q412" s="100" t="s">
        <v>0</v>
      </c>
      <c r="R412" s="737">
        <f>SUM(J411+S411)</f>
        <v>0</v>
      </c>
      <c r="S412" s="7"/>
      <c r="T412" s="148"/>
      <c r="U412" s="148"/>
      <c r="V412" s="148"/>
      <c r="W412" s="14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</row>
    <row r="413" spans="1:52" ht="31.5" customHeight="1" x14ac:dyDescent="0.45">
      <c r="A413" s="7"/>
      <c r="B413" s="17"/>
      <c r="C413" s="17"/>
      <c r="D413" s="17"/>
      <c r="E413" s="25"/>
      <c r="F413" s="25"/>
      <c r="G413" s="87"/>
      <c r="H413" s="25"/>
      <c r="I413" s="25"/>
      <c r="J413" s="7"/>
      <c r="K413" s="7"/>
      <c r="L413" s="7"/>
      <c r="M413" s="68"/>
      <c r="N413" s="68"/>
      <c r="O413" s="99"/>
      <c r="P413" s="100"/>
      <c r="Q413" s="100"/>
      <c r="R413" s="667"/>
      <c r="S413" s="7"/>
      <c r="T413" s="148"/>
      <c r="U413" s="148"/>
      <c r="V413" s="148"/>
      <c r="W413" s="14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</row>
    <row r="414" spans="1:52" ht="31.5" customHeight="1" x14ac:dyDescent="0.45">
      <c r="A414" s="7"/>
      <c r="B414" s="17"/>
      <c r="C414" s="17"/>
      <c r="D414" s="17"/>
      <c r="E414" s="25"/>
      <c r="F414" s="25"/>
      <c r="G414" s="87"/>
      <c r="H414" s="25"/>
      <c r="I414" s="25"/>
      <c r="J414" s="7"/>
      <c r="K414" s="7"/>
      <c r="L414" s="7"/>
      <c r="M414" s="68"/>
      <c r="N414" s="68"/>
      <c r="O414" s="99"/>
      <c r="P414" s="100"/>
      <c r="Q414" s="100"/>
      <c r="R414" s="667"/>
      <c r="S414" s="7"/>
      <c r="T414" s="148"/>
      <c r="U414" s="148"/>
      <c r="V414" s="148"/>
      <c r="W414" s="14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</row>
    <row r="415" spans="1:52" ht="12.75" customHeight="1" x14ac:dyDescent="0.45">
      <c r="A415" s="7"/>
      <c r="B415" s="17"/>
      <c r="C415" s="17"/>
      <c r="D415" s="17"/>
      <c r="E415" s="25"/>
      <c r="F415" s="25"/>
      <c r="G415" s="87"/>
      <c r="H415" s="25"/>
      <c r="I415" s="25"/>
      <c r="J415" s="7"/>
      <c r="K415" s="7"/>
      <c r="L415" s="7"/>
      <c r="M415" s="68"/>
      <c r="N415" s="68"/>
      <c r="O415" s="99"/>
      <c r="P415" s="100"/>
      <c r="Q415" s="100"/>
      <c r="R415" s="667"/>
      <c r="S415" s="7"/>
      <c r="T415" s="148"/>
      <c r="U415" s="148"/>
      <c r="V415" s="148"/>
      <c r="W415" s="14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/>
      <c r="AH415" s="148"/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</row>
    <row r="416" spans="1:52" ht="12.75" customHeight="1" x14ac:dyDescent="0.45">
      <c r="A416" s="7"/>
      <c r="B416" s="17"/>
      <c r="C416" s="17"/>
      <c r="D416" s="17"/>
      <c r="E416" s="25"/>
      <c r="F416" s="25"/>
      <c r="G416" s="87"/>
      <c r="H416" s="7"/>
      <c r="I416" s="7"/>
      <c r="J416" s="366" t="s">
        <v>234</v>
      </c>
      <c r="K416" s="7"/>
      <c r="L416" s="7"/>
      <c r="M416" s="7"/>
      <c r="N416" s="7"/>
      <c r="O416" s="7"/>
      <c r="P416" s="7"/>
      <c r="Q416" s="7"/>
      <c r="R416" s="7"/>
      <c r="S416" s="7"/>
      <c r="T416" s="148"/>
      <c r="U416" s="148"/>
      <c r="V416" s="148"/>
      <c r="W416" s="14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</row>
    <row r="417" spans="1:52" ht="12.75" customHeight="1" x14ac:dyDescent="0.2">
      <c r="A417" s="714" t="s">
        <v>394</v>
      </c>
      <c r="B417" s="712"/>
      <c r="C417" s="712"/>
      <c r="D417" s="712"/>
      <c r="E417" s="30"/>
      <c r="F417" s="30"/>
      <c r="G417" s="2" t="s">
        <v>224</v>
      </c>
      <c r="H417" s="711" t="s">
        <v>223</v>
      </c>
      <c r="I417" s="61" t="s">
        <v>250</v>
      </c>
      <c r="J417" s="61" t="s">
        <v>0</v>
      </c>
      <c r="K417" s="462" t="s">
        <v>394</v>
      </c>
      <c r="L417" s="462"/>
      <c r="M417" s="462"/>
      <c r="N417" s="462"/>
      <c r="O417" s="496"/>
      <c r="P417" s="715" t="s">
        <v>224</v>
      </c>
      <c r="Q417" s="61" t="s">
        <v>225</v>
      </c>
      <c r="R417" s="61" t="s">
        <v>250</v>
      </c>
      <c r="S417" s="12" t="s">
        <v>0</v>
      </c>
      <c r="T417" s="148"/>
      <c r="U417" s="148"/>
      <c r="V417" s="148"/>
      <c r="W417" s="14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/>
      <c r="AH417" s="148"/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</row>
    <row r="418" spans="1:52" ht="12.75" customHeight="1" x14ac:dyDescent="0.2">
      <c r="A418" s="768"/>
      <c r="B418" s="769"/>
      <c r="C418" s="769"/>
      <c r="D418" s="769"/>
      <c r="E418" s="769"/>
      <c r="F418" s="770"/>
      <c r="G418" s="474"/>
      <c r="H418" s="372"/>
      <c r="I418" s="409">
        <v>0</v>
      </c>
      <c r="J418" s="371">
        <f>SUM(G418*H418*I418%)</f>
        <v>0</v>
      </c>
      <c r="K418" s="765"/>
      <c r="L418" s="766"/>
      <c r="M418" s="766"/>
      <c r="N418" s="766"/>
      <c r="O418" s="767"/>
      <c r="P418" s="475"/>
      <c r="Q418" s="379"/>
      <c r="R418" s="455">
        <v>0</v>
      </c>
      <c r="S418" s="108">
        <f t="shared" ref="S418:S451" si="25">SUM(Q418*R418%*P418)</f>
        <v>0</v>
      </c>
      <c r="T418" s="148"/>
      <c r="U418" s="148"/>
      <c r="V418" s="148"/>
      <c r="W418" s="14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/>
      <c r="AH418" s="148"/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</row>
    <row r="419" spans="1:52" ht="12.75" customHeight="1" x14ac:dyDescent="0.2">
      <c r="A419" s="768"/>
      <c r="B419" s="769"/>
      <c r="C419" s="769"/>
      <c r="D419" s="769"/>
      <c r="E419" s="769"/>
      <c r="F419" s="770"/>
      <c r="G419" s="474"/>
      <c r="H419" s="373"/>
      <c r="I419" s="410">
        <v>0</v>
      </c>
      <c r="J419" s="108">
        <f>SUM(G419*H419*I419%)</f>
        <v>0</v>
      </c>
      <c r="K419" s="765"/>
      <c r="L419" s="766"/>
      <c r="M419" s="766"/>
      <c r="N419" s="766"/>
      <c r="O419" s="767"/>
      <c r="P419" s="476"/>
      <c r="Q419" s="375"/>
      <c r="R419" s="456">
        <v>0</v>
      </c>
      <c r="S419" s="108">
        <f t="shared" si="25"/>
        <v>0</v>
      </c>
      <c r="T419" s="148"/>
      <c r="U419" s="148"/>
      <c r="V419" s="148"/>
      <c r="W419" s="14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/>
      <c r="AH419" s="148"/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</row>
    <row r="420" spans="1:52" ht="12.75" customHeight="1" x14ac:dyDescent="0.2">
      <c r="A420" s="768"/>
      <c r="B420" s="769"/>
      <c r="C420" s="769"/>
      <c r="D420" s="769"/>
      <c r="E420" s="769"/>
      <c r="F420" s="770"/>
      <c r="G420" s="474"/>
      <c r="H420" s="373"/>
      <c r="I420" s="410">
        <v>0</v>
      </c>
      <c r="J420" s="371">
        <f t="shared" ref="J420:J451" si="26">SUM(G420*H420*I420%)</f>
        <v>0</v>
      </c>
      <c r="K420" s="765"/>
      <c r="L420" s="766"/>
      <c r="M420" s="766"/>
      <c r="N420" s="766"/>
      <c r="O420" s="767"/>
      <c r="P420" s="477"/>
      <c r="Q420" s="375"/>
      <c r="R420" s="456">
        <v>0</v>
      </c>
      <c r="S420" s="108">
        <f t="shared" si="25"/>
        <v>0</v>
      </c>
      <c r="T420" s="148"/>
      <c r="U420" s="148"/>
      <c r="V420" s="148"/>
      <c r="W420" s="14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/>
      <c r="AH420" s="148"/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</row>
    <row r="421" spans="1:52" ht="12.75" customHeight="1" x14ac:dyDescent="0.2">
      <c r="A421" s="768"/>
      <c r="B421" s="769"/>
      <c r="C421" s="769"/>
      <c r="D421" s="769"/>
      <c r="E421" s="769"/>
      <c r="F421" s="770"/>
      <c r="G421" s="474"/>
      <c r="H421" s="373"/>
      <c r="I421" s="410">
        <v>0</v>
      </c>
      <c r="J421" s="108">
        <f t="shared" si="26"/>
        <v>0</v>
      </c>
      <c r="K421" s="765"/>
      <c r="L421" s="766"/>
      <c r="M421" s="766"/>
      <c r="N421" s="766"/>
      <c r="O421" s="767"/>
      <c r="P421" s="476"/>
      <c r="Q421" s="375"/>
      <c r="R421" s="456">
        <v>0</v>
      </c>
      <c r="S421" s="108">
        <f t="shared" si="25"/>
        <v>0</v>
      </c>
      <c r="T421" s="148"/>
      <c r="U421" s="148"/>
      <c r="V421" s="148"/>
      <c r="W421" s="148"/>
      <c r="X421" s="148"/>
      <c r="Y421" s="148"/>
      <c r="Z421" s="148"/>
      <c r="AA421" s="148"/>
      <c r="AB421" s="148"/>
      <c r="AC421" s="148"/>
      <c r="AD421" s="148"/>
      <c r="AE421" s="148"/>
      <c r="AF421" s="148"/>
      <c r="AG421" s="148"/>
      <c r="AH421" s="148"/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</row>
    <row r="422" spans="1:52" ht="12.75" customHeight="1" x14ac:dyDescent="0.2">
      <c r="A422" s="768"/>
      <c r="B422" s="769"/>
      <c r="C422" s="769"/>
      <c r="D422" s="769"/>
      <c r="E422" s="769"/>
      <c r="F422" s="770"/>
      <c r="G422" s="474"/>
      <c r="H422" s="373"/>
      <c r="I422" s="410">
        <v>0</v>
      </c>
      <c r="J422" s="371">
        <f t="shared" si="26"/>
        <v>0</v>
      </c>
      <c r="K422" s="765"/>
      <c r="L422" s="766"/>
      <c r="M422" s="766"/>
      <c r="N422" s="766"/>
      <c r="O422" s="767"/>
      <c r="P422" s="477"/>
      <c r="Q422" s="375"/>
      <c r="R422" s="456">
        <v>0</v>
      </c>
      <c r="S422" s="108">
        <f t="shared" si="25"/>
        <v>0</v>
      </c>
      <c r="T422" s="148"/>
      <c r="U422" s="148"/>
      <c r="V422" s="148"/>
      <c r="W422" s="14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/>
      <c r="AH422" s="148"/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</row>
    <row r="423" spans="1:52" ht="12.75" customHeight="1" x14ac:dyDescent="0.2">
      <c r="A423" s="768"/>
      <c r="B423" s="769"/>
      <c r="C423" s="769"/>
      <c r="D423" s="769"/>
      <c r="E423" s="769"/>
      <c r="F423" s="770"/>
      <c r="G423" s="474"/>
      <c r="H423" s="373"/>
      <c r="I423" s="410">
        <v>0</v>
      </c>
      <c r="J423" s="108">
        <f t="shared" si="26"/>
        <v>0</v>
      </c>
      <c r="K423" s="765"/>
      <c r="L423" s="766"/>
      <c r="M423" s="766"/>
      <c r="N423" s="766"/>
      <c r="O423" s="767"/>
      <c r="P423" s="476"/>
      <c r="Q423" s="375"/>
      <c r="R423" s="456">
        <v>0</v>
      </c>
      <c r="S423" s="108">
        <f t="shared" si="25"/>
        <v>0</v>
      </c>
      <c r="T423" s="148"/>
      <c r="U423" s="148"/>
      <c r="V423" s="148"/>
      <c r="W423" s="148"/>
      <c r="X423" s="148"/>
      <c r="Y423" s="148"/>
      <c r="Z423" s="148"/>
      <c r="AA423" s="148"/>
      <c r="AB423" s="148"/>
      <c r="AC423" s="148"/>
      <c r="AD423" s="148"/>
      <c r="AE423" s="148"/>
      <c r="AF423" s="148"/>
      <c r="AG423" s="148"/>
      <c r="AH423" s="148"/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</row>
    <row r="424" spans="1:52" ht="12.75" customHeight="1" x14ac:dyDescent="0.2">
      <c r="A424" s="768"/>
      <c r="B424" s="769"/>
      <c r="C424" s="769"/>
      <c r="D424" s="769"/>
      <c r="E424" s="769"/>
      <c r="F424" s="770"/>
      <c r="G424" s="474"/>
      <c r="H424" s="373"/>
      <c r="I424" s="410">
        <v>0</v>
      </c>
      <c r="J424" s="371">
        <f t="shared" si="26"/>
        <v>0</v>
      </c>
      <c r="K424" s="765"/>
      <c r="L424" s="766"/>
      <c r="M424" s="766"/>
      <c r="N424" s="766"/>
      <c r="O424" s="767"/>
      <c r="P424" s="477"/>
      <c r="Q424" s="375"/>
      <c r="R424" s="456">
        <v>0</v>
      </c>
      <c r="S424" s="108">
        <f t="shared" si="25"/>
        <v>0</v>
      </c>
      <c r="T424" s="148"/>
      <c r="U424" s="148"/>
      <c r="V424" s="148"/>
      <c r="W424" s="148"/>
      <c r="X424" s="148"/>
      <c r="Y424" s="148"/>
      <c r="Z424" s="148"/>
      <c r="AA424" s="148"/>
      <c r="AB424" s="148"/>
      <c r="AC424" s="148"/>
      <c r="AD424" s="148"/>
      <c r="AE424" s="148"/>
      <c r="AF424" s="148"/>
      <c r="AG424" s="148"/>
      <c r="AH424" s="148"/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</row>
    <row r="425" spans="1:52" ht="12.75" customHeight="1" x14ac:dyDescent="0.2">
      <c r="A425" s="768"/>
      <c r="B425" s="769"/>
      <c r="C425" s="769"/>
      <c r="D425" s="769"/>
      <c r="E425" s="769"/>
      <c r="F425" s="770"/>
      <c r="G425" s="474"/>
      <c r="H425" s="373"/>
      <c r="I425" s="410">
        <v>0</v>
      </c>
      <c r="J425" s="108">
        <f t="shared" si="26"/>
        <v>0</v>
      </c>
      <c r="K425" s="765"/>
      <c r="L425" s="766"/>
      <c r="M425" s="766"/>
      <c r="N425" s="766"/>
      <c r="O425" s="767"/>
      <c r="P425" s="476"/>
      <c r="Q425" s="375"/>
      <c r="R425" s="456">
        <v>0</v>
      </c>
      <c r="S425" s="108">
        <f t="shared" si="25"/>
        <v>0</v>
      </c>
      <c r="T425" s="148"/>
      <c r="U425" s="148"/>
      <c r="V425" s="148"/>
      <c r="W425" s="14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/>
      <c r="AH425" s="148"/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</row>
    <row r="426" spans="1:52" ht="12.75" customHeight="1" x14ac:dyDescent="0.2">
      <c r="A426" s="768"/>
      <c r="B426" s="769"/>
      <c r="C426" s="769"/>
      <c r="D426" s="769"/>
      <c r="E426" s="769"/>
      <c r="F426" s="770"/>
      <c r="G426" s="474"/>
      <c r="H426" s="373"/>
      <c r="I426" s="410">
        <v>0</v>
      </c>
      <c r="J426" s="371">
        <f t="shared" si="26"/>
        <v>0</v>
      </c>
      <c r="K426" s="765"/>
      <c r="L426" s="766"/>
      <c r="M426" s="766"/>
      <c r="N426" s="766"/>
      <c r="O426" s="767"/>
      <c r="P426" s="477"/>
      <c r="Q426" s="375"/>
      <c r="R426" s="456">
        <v>0</v>
      </c>
      <c r="S426" s="108">
        <f t="shared" si="25"/>
        <v>0</v>
      </c>
      <c r="T426" s="148"/>
      <c r="U426" s="148"/>
      <c r="V426" s="148"/>
      <c r="W426" s="14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</row>
    <row r="427" spans="1:52" ht="12.75" customHeight="1" x14ac:dyDescent="0.2">
      <c r="A427" s="768"/>
      <c r="B427" s="769"/>
      <c r="C427" s="769"/>
      <c r="D427" s="769"/>
      <c r="E427" s="769"/>
      <c r="F427" s="770"/>
      <c r="G427" s="474"/>
      <c r="H427" s="373"/>
      <c r="I427" s="410">
        <v>0</v>
      </c>
      <c r="J427" s="108">
        <f t="shared" si="26"/>
        <v>0</v>
      </c>
      <c r="K427" s="765"/>
      <c r="L427" s="766"/>
      <c r="M427" s="766"/>
      <c r="N427" s="766"/>
      <c r="O427" s="767"/>
      <c r="P427" s="476"/>
      <c r="Q427" s="375"/>
      <c r="R427" s="456">
        <v>0</v>
      </c>
      <c r="S427" s="108">
        <f t="shared" si="25"/>
        <v>0</v>
      </c>
      <c r="T427" s="148"/>
      <c r="U427" s="148"/>
      <c r="V427" s="148"/>
      <c r="W427" s="14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</row>
    <row r="428" spans="1:52" ht="12.75" customHeight="1" x14ac:dyDescent="0.2">
      <c r="A428" s="768"/>
      <c r="B428" s="769"/>
      <c r="C428" s="769"/>
      <c r="D428" s="769"/>
      <c r="E428" s="769"/>
      <c r="F428" s="770"/>
      <c r="G428" s="474"/>
      <c r="H428" s="373"/>
      <c r="I428" s="410">
        <v>0</v>
      </c>
      <c r="J428" s="371">
        <f t="shared" si="26"/>
        <v>0</v>
      </c>
      <c r="K428" s="765"/>
      <c r="L428" s="766"/>
      <c r="M428" s="766"/>
      <c r="N428" s="766"/>
      <c r="O428" s="767"/>
      <c r="P428" s="477"/>
      <c r="Q428" s="375"/>
      <c r="R428" s="456">
        <v>0</v>
      </c>
      <c r="S428" s="108">
        <f t="shared" si="25"/>
        <v>0</v>
      </c>
      <c r="T428" s="148"/>
      <c r="U428" s="148"/>
      <c r="V428" s="148"/>
      <c r="W428" s="14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</row>
    <row r="429" spans="1:52" ht="12.75" customHeight="1" x14ac:dyDescent="0.2">
      <c r="A429" s="768"/>
      <c r="B429" s="769"/>
      <c r="C429" s="769"/>
      <c r="D429" s="769"/>
      <c r="E429" s="769"/>
      <c r="F429" s="770"/>
      <c r="G429" s="474"/>
      <c r="H429" s="373"/>
      <c r="I429" s="410">
        <v>0</v>
      </c>
      <c r="J429" s="108">
        <f t="shared" si="26"/>
        <v>0</v>
      </c>
      <c r="K429" s="765"/>
      <c r="L429" s="766"/>
      <c r="M429" s="766"/>
      <c r="N429" s="766"/>
      <c r="O429" s="767"/>
      <c r="P429" s="476"/>
      <c r="Q429" s="375"/>
      <c r="R429" s="456">
        <v>0</v>
      </c>
      <c r="S429" s="108">
        <f t="shared" si="25"/>
        <v>0</v>
      </c>
      <c r="T429" s="148"/>
      <c r="U429" s="148"/>
      <c r="V429" s="148"/>
      <c r="W429" s="14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</row>
    <row r="430" spans="1:52" ht="12.75" customHeight="1" x14ac:dyDescent="0.2">
      <c r="A430" s="768"/>
      <c r="B430" s="769"/>
      <c r="C430" s="769"/>
      <c r="D430" s="769"/>
      <c r="E430" s="769"/>
      <c r="F430" s="770"/>
      <c r="G430" s="474"/>
      <c r="H430" s="373"/>
      <c r="I430" s="410">
        <v>0</v>
      </c>
      <c r="J430" s="371">
        <f t="shared" si="26"/>
        <v>0</v>
      </c>
      <c r="K430" s="765"/>
      <c r="L430" s="766"/>
      <c r="M430" s="766"/>
      <c r="N430" s="766"/>
      <c r="O430" s="767"/>
      <c r="P430" s="477"/>
      <c r="Q430" s="375"/>
      <c r="R430" s="456">
        <v>0</v>
      </c>
      <c r="S430" s="108">
        <f t="shared" si="25"/>
        <v>0</v>
      </c>
      <c r="T430" s="148"/>
      <c r="U430" s="148"/>
      <c r="V430" s="148"/>
      <c r="W430" s="14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</row>
    <row r="431" spans="1:52" ht="12.75" customHeight="1" x14ac:dyDescent="0.2">
      <c r="A431" s="768"/>
      <c r="B431" s="769"/>
      <c r="C431" s="769"/>
      <c r="D431" s="769"/>
      <c r="E431" s="769"/>
      <c r="F431" s="770"/>
      <c r="G431" s="474"/>
      <c r="H431" s="373"/>
      <c r="I431" s="410">
        <v>0</v>
      </c>
      <c r="J431" s="108">
        <f t="shared" si="26"/>
        <v>0</v>
      </c>
      <c r="K431" s="765"/>
      <c r="L431" s="766"/>
      <c r="M431" s="766"/>
      <c r="N431" s="766"/>
      <c r="O431" s="767"/>
      <c r="P431" s="476"/>
      <c r="Q431" s="375"/>
      <c r="R431" s="456">
        <v>0</v>
      </c>
      <c r="S431" s="108">
        <f t="shared" si="25"/>
        <v>0</v>
      </c>
      <c r="T431" s="148"/>
      <c r="U431" s="148"/>
      <c r="V431" s="148"/>
      <c r="W431" s="14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</row>
    <row r="432" spans="1:52" ht="12.75" customHeight="1" x14ac:dyDescent="0.2">
      <c r="A432" s="768"/>
      <c r="B432" s="769"/>
      <c r="C432" s="769"/>
      <c r="D432" s="769"/>
      <c r="E432" s="769"/>
      <c r="F432" s="770"/>
      <c r="G432" s="474"/>
      <c r="H432" s="373"/>
      <c r="I432" s="410">
        <v>0</v>
      </c>
      <c r="J432" s="371">
        <f t="shared" si="26"/>
        <v>0</v>
      </c>
      <c r="K432" s="765"/>
      <c r="L432" s="766"/>
      <c r="M432" s="766"/>
      <c r="N432" s="766"/>
      <c r="O432" s="767"/>
      <c r="P432" s="477"/>
      <c r="Q432" s="375"/>
      <c r="R432" s="456">
        <v>0</v>
      </c>
      <c r="S432" s="108">
        <f t="shared" si="25"/>
        <v>0</v>
      </c>
      <c r="T432" s="148"/>
      <c r="U432" s="148"/>
      <c r="V432" s="148"/>
      <c r="W432" s="14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</row>
    <row r="433" spans="1:52" ht="12.75" customHeight="1" x14ac:dyDescent="0.2">
      <c r="A433" s="768"/>
      <c r="B433" s="769"/>
      <c r="C433" s="769"/>
      <c r="D433" s="769"/>
      <c r="E433" s="769"/>
      <c r="F433" s="770"/>
      <c r="G433" s="474"/>
      <c r="H433" s="373"/>
      <c r="I433" s="410">
        <v>0</v>
      </c>
      <c r="J433" s="108">
        <f t="shared" si="26"/>
        <v>0</v>
      </c>
      <c r="K433" s="765"/>
      <c r="L433" s="766"/>
      <c r="M433" s="766"/>
      <c r="N433" s="766"/>
      <c r="O433" s="767"/>
      <c r="P433" s="476"/>
      <c r="Q433" s="375"/>
      <c r="R433" s="456">
        <v>0</v>
      </c>
      <c r="S433" s="108">
        <f t="shared" si="25"/>
        <v>0</v>
      </c>
      <c r="T433" s="148"/>
      <c r="U433" s="148"/>
      <c r="V433" s="148"/>
      <c r="W433" s="14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</row>
    <row r="434" spans="1:52" ht="12.75" customHeight="1" x14ac:dyDescent="0.2">
      <c r="A434" s="768"/>
      <c r="B434" s="769"/>
      <c r="C434" s="769"/>
      <c r="D434" s="769"/>
      <c r="E434" s="769"/>
      <c r="F434" s="770"/>
      <c r="G434" s="474"/>
      <c r="H434" s="373"/>
      <c r="I434" s="410">
        <v>0</v>
      </c>
      <c r="J434" s="371">
        <f t="shared" si="26"/>
        <v>0</v>
      </c>
      <c r="K434" s="765"/>
      <c r="L434" s="766"/>
      <c r="M434" s="766"/>
      <c r="N434" s="766"/>
      <c r="O434" s="767"/>
      <c r="P434" s="478"/>
      <c r="Q434" s="375"/>
      <c r="R434" s="456">
        <v>0</v>
      </c>
      <c r="S434" s="108">
        <f t="shared" si="25"/>
        <v>0</v>
      </c>
      <c r="T434" s="148"/>
      <c r="U434" s="148"/>
      <c r="V434" s="148"/>
      <c r="W434" s="14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</row>
    <row r="435" spans="1:52" ht="12.75" customHeight="1" x14ac:dyDescent="0.2">
      <c r="A435" s="768"/>
      <c r="B435" s="769"/>
      <c r="C435" s="769"/>
      <c r="D435" s="769"/>
      <c r="E435" s="769"/>
      <c r="F435" s="770"/>
      <c r="G435" s="474"/>
      <c r="H435" s="372"/>
      <c r="I435" s="409">
        <v>0</v>
      </c>
      <c r="J435" s="108">
        <f t="shared" si="26"/>
        <v>0</v>
      </c>
      <c r="K435" s="765"/>
      <c r="L435" s="766"/>
      <c r="M435" s="766"/>
      <c r="N435" s="766"/>
      <c r="O435" s="767"/>
      <c r="P435" s="475"/>
      <c r="Q435" s="379"/>
      <c r="R435" s="455">
        <v>0</v>
      </c>
      <c r="S435" s="108">
        <f t="shared" si="25"/>
        <v>0</v>
      </c>
      <c r="T435" s="148"/>
      <c r="U435" s="148"/>
      <c r="V435" s="148"/>
      <c r="W435" s="14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</row>
    <row r="436" spans="1:52" ht="12.75" customHeight="1" x14ac:dyDescent="0.2">
      <c r="A436" s="768"/>
      <c r="B436" s="769"/>
      <c r="C436" s="769"/>
      <c r="D436" s="769"/>
      <c r="E436" s="769"/>
      <c r="F436" s="770"/>
      <c r="G436" s="474"/>
      <c r="H436" s="373"/>
      <c r="I436" s="410">
        <v>0</v>
      </c>
      <c r="J436" s="371">
        <f t="shared" si="26"/>
        <v>0</v>
      </c>
      <c r="K436" s="765"/>
      <c r="L436" s="766"/>
      <c r="M436" s="766"/>
      <c r="N436" s="766"/>
      <c r="O436" s="767"/>
      <c r="P436" s="476"/>
      <c r="Q436" s="375"/>
      <c r="R436" s="456">
        <v>0</v>
      </c>
      <c r="S436" s="108">
        <f t="shared" si="25"/>
        <v>0</v>
      </c>
      <c r="T436" s="148"/>
      <c r="U436" s="148"/>
      <c r="V436" s="148"/>
      <c r="W436" s="14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</row>
    <row r="437" spans="1:52" ht="12.75" customHeight="1" x14ac:dyDescent="0.2">
      <c r="A437" s="768"/>
      <c r="B437" s="769"/>
      <c r="C437" s="769"/>
      <c r="D437" s="769"/>
      <c r="E437" s="769"/>
      <c r="F437" s="770"/>
      <c r="G437" s="474"/>
      <c r="H437" s="373"/>
      <c r="I437" s="410">
        <v>0</v>
      </c>
      <c r="J437" s="108">
        <f t="shared" si="26"/>
        <v>0</v>
      </c>
      <c r="K437" s="765"/>
      <c r="L437" s="766"/>
      <c r="M437" s="766"/>
      <c r="N437" s="766"/>
      <c r="O437" s="767"/>
      <c r="P437" s="477"/>
      <c r="Q437" s="375"/>
      <c r="R437" s="456">
        <v>0</v>
      </c>
      <c r="S437" s="108">
        <f t="shared" si="25"/>
        <v>0</v>
      </c>
      <c r="T437" s="148"/>
      <c r="U437" s="148"/>
      <c r="V437" s="148"/>
      <c r="W437" s="148"/>
      <c r="X437" s="148"/>
      <c r="Y437" s="148"/>
      <c r="Z437" s="148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</row>
    <row r="438" spans="1:52" ht="12.75" customHeight="1" x14ac:dyDescent="0.2">
      <c r="A438" s="768"/>
      <c r="B438" s="769"/>
      <c r="C438" s="769"/>
      <c r="D438" s="769"/>
      <c r="E438" s="769"/>
      <c r="F438" s="770"/>
      <c r="G438" s="474"/>
      <c r="H438" s="373"/>
      <c r="I438" s="410">
        <v>0</v>
      </c>
      <c r="J438" s="371">
        <f t="shared" si="26"/>
        <v>0</v>
      </c>
      <c r="K438" s="765"/>
      <c r="L438" s="766"/>
      <c r="M438" s="766"/>
      <c r="N438" s="766"/>
      <c r="O438" s="767"/>
      <c r="P438" s="476"/>
      <c r="Q438" s="375"/>
      <c r="R438" s="456">
        <v>0</v>
      </c>
      <c r="S438" s="108">
        <f t="shared" si="25"/>
        <v>0</v>
      </c>
      <c r="T438" s="148"/>
      <c r="U438" s="148"/>
      <c r="V438" s="148"/>
      <c r="W438" s="14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</row>
    <row r="439" spans="1:52" ht="12.75" customHeight="1" x14ac:dyDescent="0.2">
      <c r="A439" s="768"/>
      <c r="B439" s="769"/>
      <c r="C439" s="769"/>
      <c r="D439" s="769"/>
      <c r="E439" s="769"/>
      <c r="F439" s="770"/>
      <c r="G439" s="474"/>
      <c r="H439" s="373"/>
      <c r="I439" s="410">
        <v>0</v>
      </c>
      <c r="J439" s="108">
        <f t="shared" si="26"/>
        <v>0</v>
      </c>
      <c r="K439" s="765"/>
      <c r="L439" s="766"/>
      <c r="M439" s="766"/>
      <c r="N439" s="766"/>
      <c r="O439" s="767"/>
      <c r="P439" s="477"/>
      <c r="Q439" s="375"/>
      <c r="R439" s="456">
        <v>0</v>
      </c>
      <c r="S439" s="108">
        <f t="shared" si="25"/>
        <v>0</v>
      </c>
      <c r="T439" s="148"/>
      <c r="U439" s="148"/>
      <c r="V439" s="148"/>
      <c r="W439" s="14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</row>
    <row r="440" spans="1:52" ht="12.75" customHeight="1" x14ac:dyDescent="0.2">
      <c r="A440" s="768"/>
      <c r="B440" s="769"/>
      <c r="C440" s="769"/>
      <c r="D440" s="769"/>
      <c r="E440" s="769"/>
      <c r="F440" s="770"/>
      <c r="G440" s="474"/>
      <c r="H440" s="373"/>
      <c r="I440" s="410">
        <v>0</v>
      </c>
      <c r="J440" s="371">
        <f t="shared" si="26"/>
        <v>0</v>
      </c>
      <c r="K440" s="765"/>
      <c r="L440" s="766"/>
      <c r="M440" s="766"/>
      <c r="N440" s="766"/>
      <c r="O440" s="767"/>
      <c r="P440" s="476"/>
      <c r="Q440" s="375"/>
      <c r="R440" s="456">
        <v>0</v>
      </c>
      <c r="S440" s="108">
        <f t="shared" si="25"/>
        <v>0</v>
      </c>
      <c r="T440" s="148"/>
      <c r="U440" s="148"/>
      <c r="V440" s="148"/>
      <c r="W440" s="14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/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</row>
    <row r="441" spans="1:52" ht="12.75" customHeight="1" x14ac:dyDescent="0.2">
      <c r="A441" s="768"/>
      <c r="B441" s="769"/>
      <c r="C441" s="769"/>
      <c r="D441" s="769"/>
      <c r="E441" s="769"/>
      <c r="F441" s="770"/>
      <c r="G441" s="474"/>
      <c r="H441" s="373"/>
      <c r="I441" s="410">
        <v>0</v>
      </c>
      <c r="J441" s="108">
        <f t="shared" si="26"/>
        <v>0</v>
      </c>
      <c r="K441" s="765"/>
      <c r="L441" s="766"/>
      <c r="M441" s="766"/>
      <c r="N441" s="766"/>
      <c r="O441" s="767"/>
      <c r="P441" s="477"/>
      <c r="Q441" s="375"/>
      <c r="R441" s="456">
        <v>0</v>
      </c>
      <c r="S441" s="108">
        <f t="shared" si="25"/>
        <v>0</v>
      </c>
      <c r="T441" s="148"/>
      <c r="U441" s="148"/>
      <c r="V441" s="148"/>
      <c r="W441" s="14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/>
      <c r="AH441" s="148"/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</row>
    <row r="442" spans="1:52" ht="12.75" customHeight="1" x14ac:dyDescent="0.2">
      <c r="A442" s="768"/>
      <c r="B442" s="769"/>
      <c r="C442" s="769"/>
      <c r="D442" s="769"/>
      <c r="E442" s="769"/>
      <c r="F442" s="770"/>
      <c r="G442" s="474"/>
      <c r="H442" s="373"/>
      <c r="I442" s="410">
        <v>0</v>
      </c>
      <c r="J442" s="371">
        <f t="shared" si="26"/>
        <v>0</v>
      </c>
      <c r="K442" s="765"/>
      <c r="L442" s="766"/>
      <c r="M442" s="766"/>
      <c r="N442" s="766"/>
      <c r="O442" s="767"/>
      <c r="P442" s="476"/>
      <c r="Q442" s="375"/>
      <c r="R442" s="456">
        <v>0</v>
      </c>
      <c r="S442" s="108">
        <f t="shared" si="25"/>
        <v>0</v>
      </c>
      <c r="T442" s="148"/>
      <c r="U442" s="148"/>
      <c r="V442" s="148"/>
      <c r="W442" s="14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/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</row>
    <row r="443" spans="1:52" ht="12.75" customHeight="1" x14ac:dyDescent="0.2">
      <c r="A443" s="768"/>
      <c r="B443" s="769"/>
      <c r="C443" s="769"/>
      <c r="D443" s="769"/>
      <c r="E443" s="769"/>
      <c r="F443" s="770"/>
      <c r="G443" s="474"/>
      <c r="H443" s="373"/>
      <c r="I443" s="410">
        <v>0</v>
      </c>
      <c r="J443" s="108">
        <f t="shared" si="26"/>
        <v>0</v>
      </c>
      <c r="K443" s="765"/>
      <c r="L443" s="766"/>
      <c r="M443" s="766"/>
      <c r="N443" s="766"/>
      <c r="O443" s="767"/>
      <c r="P443" s="477"/>
      <c r="Q443" s="375"/>
      <c r="R443" s="456">
        <v>0</v>
      </c>
      <c r="S443" s="108">
        <f t="shared" si="25"/>
        <v>0</v>
      </c>
      <c r="T443" s="148"/>
      <c r="U443" s="148"/>
      <c r="V443" s="148"/>
      <c r="W443" s="14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/>
      <c r="AH443" s="148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</row>
    <row r="444" spans="1:52" ht="12.75" customHeight="1" x14ac:dyDescent="0.2">
      <c r="A444" s="768"/>
      <c r="B444" s="769"/>
      <c r="C444" s="769"/>
      <c r="D444" s="769"/>
      <c r="E444" s="769"/>
      <c r="F444" s="770"/>
      <c r="G444" s="474"/>
      <c r="H444" s="373"/>
      <c r="I444" s="410">
        <v>0</v>
      </c>
      <c r="J444" s="371">
        <f t="shared" si="26"/>
        <v>0</v>
      </c>
      <c r="K444" s="765"/>
      <c r="L444" s="766"/>
      <c r="M444" s="766"/>
      <c r="N444" s="766"/>
      <c r="O444" s="767"/>
      <c r="P444" s="476"/>
      <c r="Q444" s="375"/>
      <c r="R444" s="456">
        <v>0</v>
      </c>
      <c r="S444" s="108">
        <f t="shared" si="25"/>
        <v>0</v>
      </c>
      <c r="T444" s="148"/>
      <c r="U444" s="148"/>
      <c r="V444" s="148"/>
      <c r="W444" s="14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/>
      <c r="AH444" s="148"/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</row>
    <row r="445" spans="1:52" ht="12.75" customHeight="1" x14ac:dyDescent="0.2">
      <c r="A445" s="768"/>
      <c r="B445" s="769"/>
      <c r="C445" s="769"/>
      <c r="D445" s="769"/>
      <c r="E445" s="769"/>
      <c r="F445" s="770"/>
      <c r="G445" s="474"/>
      <c r="H445" s="373"/>
      <c r="I445" s="410">
        <v>0</v>
      </c>
      <c r="J445" s="108">
        <f t="shared" si="26"/>
        <v>0</v>
      </c>
      <c r="K445" s="765"/>
      <c r="L445" s="766"/>
      <c r="M445" s="766"/>
      <c r="N445" s="766"/>
      <c r="O445" s="767"/>
      <c r="P445" s="477"/>
      <c r="Q445" s="375"/>
      <c r="R445" s="456">
        <v>0</v>
      </c>
      <c r="S445" s="108">
        <f t="shared" si="25"/>
        <v>0</v>
      </c>
      <c r="T445" s="148"/>
      <c r="U445" s="148"/>
      <c r="V445" s="148"/>
      <c r="W445" s="14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</row>
    <row r="446" spans="1:52" ht="12.75" customHeight="1" x14ac:dyDescent="0.2">
      <c r="A446" s="768"/>
      <c r="B446" s="769"/>
      <c r="C446" s="769"/>
      <c r="D446" s="769"/>
      <c r="E446" s="769"/>
      <c r="F446" s="770"/>
      <c r="G446" s="474"/>
      <c r="H446" s="373"/>
      <c r="I446" s="410">
        <v>0</v>
      </c>
      <c r="J446" s="371">
        <f t="shared" si="26"/>
        <v>0</v>
      </c>
      <c r="K446" s="765"/>
      <c r="L446" s="766"/>
      <c r="M446" s="766"/>
      <c r="N446" s="766"/>
      <c r="O446" s="767"/>
      <c r="P446" s="476"/>
      <c r="Q446" s="375"/>
      <c r="R446" s="456">
        <v>0</v>
      </c>
      <c r="S446" s="108">
        <f t="shared" si="25"/>
        <v>0</v>
      </c>
      <c r="T446" s="148"/>
      <c r="U446" s="148"/>
      <c r="V446" s="148"/>
      <c r="W446" s="14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</row>
    <row r="447" spans="1:52" ht="12.75" customHeight="1" x14ac:dyDescent="0.2">
      <c r="A447" s="768"/>
      <c r="B447" s="769"/>
      <c r="C447" s="769"/>
      <c r="D447" s="769"/>
      <c r="E447" s="769"/>
      <c r="F447" s="770"/>
      <c r="G447" s="474"/>
      <c r="H447" s="373"/>
      <c r="I447" s="410">
        <v>0</v>
      </c>
      <c r="J447" s="108">
        <f t="shared" si="26"/>
        <v>0</v>
      </c>
      <c r="K447" s="765"/>
      <c r="L447" s="766"/>
      <c r="M447" s="766"/>
      <c r="N447" s="766"/>
      <c r="O447" s="767"/>
      <c r="P447" s="477"/>
      <c r="Q447" s="375"/>
      <c r="R447" s="456">
        <v>0</v>
      </c>
      <c r="S447" s="108">
        <f t="shared" si="25"/>
        <v>0</v>
      </c>
      <c r="T447" s="148"/>
      <c r="U447" s="148"/>
      <c r="V447" s="148"/>
      <c r="W447" s="148"/>
      <c r="X447" s="148"/>
      <c r="Y447" s="148"/>
      <c r="Z447" s="148"/>
      <c r="AA447" s="148"/>
      <c r="AB447" s="148"/>
      <c r="AC447" s="148"/>
      <c r="AD447" s="148"/>
      <c r="AE447" s="148"/>
      <c r="AF447" s="148"/>
      <c r="AG447" s="148"/>
      <c r="AH447" s="148"/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</row>
    <row r="448" spans="1:52" ht="12.75" customHeight="1" x14ac:dyDescent="0.2">
      <c r="A448" s="768"/>
      <c r="B448" s="769"/>
      <c r="C448" s="769"/>
      <c r="D448" s="769"/>
      <c r="E448" s="769"/>
      <c r="F448" s="770"/>
      <c r="G448" s="474"/>
      <c r="H448" s="373"/>
      <c r="I448" s="410">
        <v>0</v>
      </c>
      <c r="J448" s="371">
        <f t="shared" si="26"/>
        <v>0</v>
      </c>
      <c r="K448" s="765"/>
      <c r="L448" s="766"/>
      <c r="M448" s="766"/>
      <c r="N448" s="766"/>
      <c r="O448" s="767"/>
      <c r="P448" s="476"/>
      <c r="Q448" s="375"/>
      <c r="R448" s="456">
        <v>0</v>
      </c>
      <c r="S448" s="108">
        <f t="shared" si="25"/>
        <v>0</v>
      </c>
      <c r="T448" s="148"/>
      <c r="U448" s="148"/>
      <c r="V448" s="148"/>
      <c r="W448" s="148"/>
      <c r="X448" s="148"/>
      <c r="Y448" s="148"/>
      <c r="Z448" s="148"/>
      <c r="AA448" s="148"/>
      <c r="AB448" s="148"/>
      <c r="AC448" s="148"/>
      <c r="AD448" s="148"/>
      <c r="AE448" s="148"/>
      <c r="AF448" s="148"/>
      <c r="AG448" s="148"/>
      <c r="AH448" s="148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</row>
    <row r="449" spans="1:52" ht="12.75" customHeight="1" x14ac:dyDescent="0.2">
      <c r="A449" s="768"/>
      <c r="B449" s="769"/>
      <c r="C449" s="769"/>
      <c r="D449" s="769"/>
      <c r="E449" s="769"/>
      <c r="F449" s="770"/>
      <c r="G449" s="474"/>
      <c r="H449" s="373"/>
      <c r="I449" s="410">
        <v>0</v>
      </c>
      <c r="J449" s="108">
        <f t="shared" si="26"/>
        <v>0</v>
      </c>
      <c r="K449" s="765"/>
      <c r="L449" s="766"/>
      <c r="M449" s="766"/>
      <c r="N449" s="766"/>
      <c r="O449" s="767"/>
      <c r="P449" s="477"/>
      <c r="Q449" s="375"/>
      <c r="R449" s="456">
        <v>0</v>
      </c>
      <c r="S449" s="108">
        <f t="shared" si="25"/>
        <v>0</v>
      </c>
      <c r="T449" s="148"/>
      <c r="U449" s="148"/>
      <c r="V449" s="148"/>
      <c r="W449" s="14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/>
      <c r="AH449" s="148"/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</row>
    <row r="450" spans="1:52" ht="12.75" customHeight="1" x14ac:dyDescent="0.2">
      <c r="A450" s="768"/>
      <c r="B450" s="769"/>
      <c r="C450" s="769"/>
      <c r="D450" s="769"/>
      <c r="E450" s="769"/>
      <c r="F450" s="770"/>
      <c r="G450" s="474"/>
      <c r="H450" s="373"/>
      <c r="I450" s="410">
        <v>0</v>
      </c>
      <c r="J450" s="371">
        <f t="shared" si="26"/>
        <v>0</v>
      </c>
      <c r="K450" s="765"/>
      <c r="L450" s="766"/>
      <c r="M450" s="766"/>
      <c r="N450" s="766"/>
      <c r="O450" s="767"/>
      <c r="P450" s="476"/>
      <c r="Q450" s="375"/>
      <c r="R450" s="456">
        <v>0</v>
      </c>
      <c r="S450" s="108">
        <f t="shared" si="25"/>
        <v>0</v>
      </c>
      <c r="T450" s="148"/>
      <c r="U450" s="148"/>
      <c r="V450" s="148"/>
      <c r="W450" s="14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/>
      <c r="AH450" s="148"/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</row>
    <row r="451" spans="1:52" ht="12.75" customHeight="1" x14ac:dyDescent="0.2">
      <c r="A451" s="768"/>
      <c r="B451" s="769"/>
      <c r="C451" s="769"/>
      <c r="D451" s="769"/>
      <c r="E451" s="769"/>
      <c r="F451" s="770"/>
      <c r="G451" s="474"/>
      <c r="H451" s="373"/>
      <c r="I451" s="410">
        <v>0</v>
      </c>
      <c r="J451" s="108">
        <f t="shared" si="26"/>
        <v>0</v>
      </c>
      <c r="K451" s="765"/>
      <c r="L451" s="766"/>
      <c r="M451" s="766"/>
      <c r="N451" s="766"/>
      <c r="O451" s="767"/>
      <c r="P451" s="478"/>
      <c r="Q451" s="375"/>
      <c r="R451" s="456">
        <v>0</v>
      </c>
      <c r="S451" s="108">
        <f t="shared" si="25"/>
        <v>0</v>
      </c>
      <c r="T451" s="148"/>
      <c r="U451" s="148"/>
      <c r="V451" s="148"/>
      <c r="W451" s="148"/>
      <c r="X451" s="148"/>
      <c r="Y451" s="148"/>
      <c r="Z451" s="148"/>
      <c r="AA451" s="148"/>
      <c r="AB451" s="148"/>
      <c r="AC451" s="148"/>
      <c r="AD451" s="148"/>
      <c r="AE451" s="148"/>
      <c r="AF451" s="148"/>
      <c r="AG451" s="148"/>
      <c r="AH451" s="148"/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</row>
    <row r="452" spans="1:52" ht="12.75" customHeight="1" thickBot="1" x14ac:dyDescent="0.25">
      <c r="A452" s="713"/>
      <c r="B452" s="120"/>
      <c r="C452" s="120"/>
      <c r="D452" s="120"/>
      <c r="E452" s="120"/>
      <c r="F452" s="120"/>
      <c r="G452" s="120"/>
      <c r="H452" s="120"/>
      <c r="I452" s="174" t="s">
        <v>0</v>
      </c>
      <c r="J452" s="758">
        <f>SUM(J418:J451)</f>
        <v>0</v>
      </c>
      <c r="K452" s="175"/>
      <c r="L452" s="175"/>
      <c r="M452" s="175"/>
      <c r="N452" s="175"/>
      <c r="O452" s="175"/>
      <c r="P452" s="175"/>
      <c r="Q452" s="175"/>
      <c r="R452" s="174" t="s">
        <v>0</v>
      </c>
      <c r="S452" s="760">
        <f>SUM(S418:S451)</f>
        <v>0</v>
      </c>
      <c r="T452" s="148"/>
      <c r="U452" s="148"/>
      <c r="V452" s="148"/>
      <c r="W452" s="14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/>
      <c r="AH452" s="148"/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</row>
    <row r="453" spans="1:52" ht="12.75" customHeight="1" x14ac:dyDescent="0.2">
      <c r="A453" s="713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461"/>
      <c r="T453" s="148"/>
      <c r="U453" s="148"/>
      <c r="V453" s="148"/>
      <c r="W453" s="148"/>
      <c r="X453" s="148"/>
      <c r="Y453" s="148"/>
      <c r="Z453" s="148"/>
      <c r="AA453" s="148"/>
      <c r="AB453" s="148"/>
      <c r="AC453" s="148"/>
      <c r="AD453" s="148"/>
      <c r="AE453" s="148"/>
      <c r="AF453" s="148"/>
      <c r="AG453" s="148"/>
      <c r="AH453" s="148"/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</row>
    <row r="454" spans="1:52" ht="12.75" customHeight="1" thickBot="1" x14ac:dyDescent="0.25">
      <c r="A454" s="716"/>
      <c r="B454" s="717"/>
      <c r="C454" s="717"/>
      <c r="D454" s="717"/>
      <c r="E454" s="717"/>
      <c r="F454" s="717"/>
      <c r="G454" s="717"/>
      <c r="H454" s="717"/>
      <c r="I454" s="717"/>
      <c r="J454" s="717"/>
      <c r="K454" s="717"/>
      <c r="L454" s="717"/>
      <c r="M454" s="717"/>
      <c r="N454" s="717"/>
      <c r="O454" s="717"/>
      <c r="P454" s="718" t="s">
        <v>220</v>
      </c>
      <c r="Q454" s="718" t="s">
        <v>0</v>
      </c>
      <c r="R454" s="737">
        <f>SUM(J452+S452)</f>
        <v>0</v>
      </c>
      <c r="S454" s="719"/>
      <c r="T454" s="148"/>
      <c r="U454" s="148"/>
      <c r="V454" s="148"/>
      <c r="W454" s="14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/>
      <c r="AH454" s="148"/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</row>
    <row r="455" spans="1:52" ht="12.75" customHeight="1" x14ac:dyDescent="0.45">
      <c r="A455" s="7"/>
      <c r="B455" s="17"/>
      <c r="C455" s="17"/>
      <c r="D455" s="17"/>
      <c r="E455" s="25"/>
      <c r="F455" s="25"/>
      <c r="G455" s="87"/>
      <c r="H455" s="25"/>
      <c r="I455" s="25"/>
      <c r="J455" s="7"/>
      <c r="K455" s="7"/>
      <c r="L455" s="7"/>
      <c r="M455" s="68"/>
      <c r="N455" s="68"/>
      <c r="O455" s="99"/>
      <c r="P455" s="100"/>
      <c r="Q455" s="100"/>
      <c r="R455" s="667"/>
      <c r="S455" s="7"/>
      <c r="T455" s="148"/>
      <c r="U455" s="148"/>
      <c r="V455" s="148"/>
      <c r="W455" s="148"/>
      <c r="X455" s="148"/>
      <c r="Y455" s="148"/>
      <c r="Z455" s="148"/>
      <c r="AA455" s="148"/>
      <c r="AB455" s="148"/>
      <c r="AC455" s="148"/>
      <c r="AD455" s="148"/>
      <c r="AE455" s="148"/>
      <c r="AF455" s="148"/>
      <c r="AG455" s="148"/>
      <c r="AH455" s="148"/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</row>
    <row r="456" spans="1:52" ht="5.45" customHeight="1" x14ac:dyDescent="0.45">
      <c r="A456" s="7"/>
      <c r="B456" s="17"/>
      <c r="C456" s="17"/>
      <c r="D456" s="17"/>
      <c r="E456" s="25"/>
      <c r="F456" s="25"/>
      <c r="G456" s="87"/>
      <c r="H456" s="25"/>
      <c r="I456" s="25"/>
      <c r="J456" s="7"/>
      <c r="K456" s="7"/>
      <c r="L456" s="7"/>
      <c r="M456" s="68"/>
      <c r="N456" s="68"/>
      <c r="O456" s="99"/>
      <c r="P456" s="100"/>
      <c r="Q456" s="100"/>
      <c r="R456" s="667"/>
      <c r="S456" s="7"/>
      <c r="T456" s="148"/>
      <c r="U456" s="148"/>
      <c r="V456" s="148"/>
      <c r="W456" s="148"/>
      <c r="X456" s="148"/>
      <c r="Y456" s="148"/>
      <c r="Z456" s="148"/>
      <c r="AA456" s="148"/>
      <c r="AB456" s="148"/>
      <c r="AC456" s="148"/>
      <c r="AD456" s="148"/>
      <c r="AE456" s="148"/>
      <c r="AF456" s="148"/>
      <c r="AG456" s="148"/>
      <c r="AH456" s="148"/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</row>
    <row r="457" spans="1:52" ht="5.45" customHeight="1" x14ac:dyDescent="0.45">
      <c r="A457" s="7"/>
      <c r="B457" s="17"/>
      <c r="C457" s="17"/>
      <c r="D457" s="17"/>
      <c r="E457" s="25"/>
      <c r="F457" s="25"/>
      <c r="G457" s="87"/>
      <c r="H457" s="25"/>
      <c r="I457" s="25"/>
      <c r="J457" s="7"/>
      <c r="K457" s="7"/>
      <c r="L457" s="7"/>
      <c r="M457" s="68"/>
      <c r="N457" s="68"/>
      <c r="O457" s="99"/>
      <c r="P457" s="100"/>
      <c r="Q457" s="100"/>
      <c r="R457" s="667"/>
      <c r="S457" s="7"/>
      <c r="T457" s="148"/>
      <c r="U457" s="148"/>
      <c r="V457" s="148"/>
      <c r="W457" s="148"/>
      <c r="X457" s="148"/>
      <c r="Y457" s="148"/>
      <c r="Z457" s="148"/>
      <c r="AA457" s="148"/>
      <c r="AB457" s="148"/>
      <c r="AC457" s="148"/>
      <c r="AD457" s="148"/>
      <c r="AE457" s="148"/>
      <c r="AF457" s="148"/>
      <c r="AG457" s="148"/>
      <c r="AH457" s="148"/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</row>
    <row r="458" spans="1:52" ht="5.45" customHeight="1" x14ac:dyDescent="0.45">
      <c r="A458" s="7"/>
      <c r="B458" s="17"/>
      <c r="C458" s="17"/>
      <c r="D458" s="17"/>
      <c r="E458" s="25"/>
      <c r="F458" s="25"/>
      <c r="G458" s="8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148"/>
      <c r="U458" s="148"/>
      <c r="V458" s="148"/>
      <c r="W458" s="148"/>
      <c r="X458" s="148"/>
      <c r="Y458" s="148"/>
      <c r="Z458" s="148"/>
      <c r="AA458" s="148"/>
      <c r="AB458" s="148"/>
      <c r="AC458" s="148"/>
      <c r="AD458" s="148"/>
      <c r="AE458" s="148"/>
      <c r="AF458" s="148"/>
      <c r="AG458" s="148"/>
      <c r="AH458" s="148"/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</row>
    <row r="459" spans="1:52" ht="2.4500000000000002" hidden="1" customHeight="1" thickBot="1" x14ac:dyDescent="0.5">
      <c r="T459" s="148"/>
      <c r="U459" s="148"/>
      <c r="V459" s="148"/>
      <c r="W459" s="148"/>
      <c r="X459" s="148"/>
      <c r="Y459" s="148"/>
      <c r="Z459" s="148"/>
      <c r="AA459" s="148"/>
      <c r="AB459" s="148"/>
      <c r="AC459" s="148"/>
      <c r="AD459" s="148"/>
      <c r="AE459" s="148"/>
      <c r="AF459" s="148"/>
      <c r="AG459" s="148"/>
      <c r="AH459" s="148"/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</row>
    <row r="460" spans="1:52" ht="2.4500000000000002" customHeight="1" x14ac:dyDescent="0.45">
      <c r="T460" s="148"/>
      <c r="U460" s="148"/>
      <c r="V460" s="148"/>
      <c r="W460" s="148"/>
      <c r="X460" s="148"/>
      <c r="Y460" s="148"/>
      <c r="Z460" s="148"/>
      <c r="AA460" s="148"/>
      <c r="AB460" s="148"/>
      <c r="AC460" s="148"/>
      <c r="AD460" s="148"/>
      <c r="AE460" s="148"/>
      <c r="AF460" s="148"/>
      <c r="AG460" s="148"/>
      <c r="AH460" s="148"/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</row>
    <row r="461" spans="1:52" ht="17.25" customHeight="1" x14ac:dyDescent="0.45">
      <c r="A461" s="7"/>
      <c r="B461" s="17"/>
      <c r="C461" s="17"/>
      <c r="D461" s="17"/>
      <c r="E461" s="25"/>
      <c r="F461" s="25"/>
      <c r="G461" s="87"/>
      <c r="H461" s="7"/>
      <c r="I461" s="7"/>
      <c r="J461" s="366" t="s">
        <v>234</v>
      </c>
      <c r="K461" s="7"/>
      <c r="L461" s="7"/>
      <c r="M461" s="7"/>
      <c r="N461" s="7"/>
      <c r="O461" s="7"/>
      <c r="P461" s="7"/>
      <c r="Q461" s="7"/>
      <c r="R461" s="7"/>
      <c r="S461" s="7"/>
      <c r="T461" s="148"/>
      <c r="U461" s="148"/>
      <c r="V461" s="148"/>
      <c r="W461" s="148"/>
      <c r="X461" s="148"/>
      <c r="Y461" s="148"/>
      <c r="Z461" s="148"/>
      <c r="AA461" s="148"/>
      <c r="AB461" s="148"/>
      <c r="AC461" s="148"/>
      <c r="AD461" s="148"/>
      <c r="AE461" s="148"/>
      <c r="AF461" s="148"/>
      <c r="AG461" s="148"/>
      <c r="AH461" s="148"/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</row>
    <row r="462" spans="1:52" ht="12.75" x14ac:dyDescent="0.2">
      <c r="A462" s="68" t="s">
        <v>394</v>
      </c>
      <c r="B462" s="17"/>
      <c r="C462" s="17"/>
      <c r="D462" s="17"/>
      <c r="E462" s="25"/>
      <c r="F462" s="25"/>
      <c r="G462" s="6" t="s">
        <v>224</v>
      </c>
      <c r="H462" s="710" t="s">
        <v>223</v>
      </c>
      <c r="I462" s="21" t="s">
        <v>250</v>
      </c>
      <c r="J462" s="21" t="s">
        <v>0</v>
      </c>
      <c r="K462" s="165" t="s">
        <v>394</v>
      </c>
      <c r="L462" s="165"/>
      <c r="M462" s="165"/>
      <c r="N462" s="165"/>
      <c r="O462" s="68"/>
      <c r="P462" s="92" t="s">
        <v>224</v>
      </c>
      <c r="Q462" s="21" t="s">
        <v>225</v>
      </c>
      <c r="R462" s="21" t="s">
        <v>250</v>
      </c>
      <c r="S462" s="25" t="s">
        <v>0</v>
      </c>
      <c r="T462" s="148"/>
      <c r="U462" s="148"/>
      <c r="V462" s="148"/>
      <c r="W462" s="148"/>
      <c r="X462" s="148"/>
      <c r="Y462" s="148"/>
      <c r="Z462" s="148"/>
      <c r="AA462" s="148"/>
      <c r="AB462" s="148"/>
      <c r="AC462" s="148"/>
      <c r="AD462" s="148"/>
      <c r="AE462" s="148"/>
      <c r="AF462" s="148"/>
      <c r="AG462" s="148"/>
      <c r="AH462" s="148"/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</row>
    <row r="463" spans="1:52" ht="12.75" x14ac:dyDescent="0.2">
      <c r="A463" s="768"/>
      <c r="B463" s="769"/>
      <c r="C463" s="769"/>
      <c r="D463" s="769"/>
      <c r="E463" s="769"/>
      <c r="F463" s="770"/>
      <c r="G463" s="474"/>
      <c r="H463" s="372"/>
      <c r="I463" s="409">
        <v>0</v>
      </c>
      <c r="J463" s="371">
        <f>SUM(G463*H463*I463%)</f>
        <v>0</v>
      </c>
      <c r="K463" s="765"/>
      <c r="L463" s="766"/>
      <c r="M463" s="766"/>
      <c r="N463" s="766"/>
      <c r="O463" s="767"/>
      <c r="P463" s="475"/>
      <c r="Q463" s="379"/>
      <c r="R463" s="455">
        <v>0</v>
      </c>
      <c r="S463" s="108">
        <f t="shared" ref="S463:S496" si="27">SUM(Q463*R463%*P463)</f>
        <v>0</v>
      </c>
      <c r="T463" s="148"/>
      <c r="U463" s="148"/>
      <c r="V463" s="148"/>
      <c r="W463" s="148"/>
      <c r="X463" s="148"/>
      <c r="Y463" s="148"/>
      <c r="Z463" s="148"/>
      <c r="AA463" s="148"/>
      <c r="AB463" s="148"/>
      <c r="AC463" s="148"/>
      <c r="AD463" s="148"/>
      <c r="AE463" s="148"/>
      <c r="AF463" s="148"/>
      <c r="AG463" s="148"/>
      <c r="AH463" s="148"/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</row>
    <row r="464" spans="1:52" ht="12.75" x14ac:dyDescent="0.2">
      <c r="A464" s="768"/>
      <c r="B464" s="769"/>
      <c r="C464" s="769"/>
      <c r="D464" s="769"/>
      <c r="E464" s="769"/>
      <c r="F464" s="770"/>
      <c r="G464" s="474"/>
      <c r="H464" s="373"/>
      <c r="I464" s="410">
        <v>0</v>
      </c>
      <c r="J464" s="108">
        <f>SUM(G464*H464*I464%)</f>
        <v>0</v>
      </c>
      <c r="K464" s="765"/>
      <c r="L464" s="766"/>
      <c r="M464" s="766"/>
      <c r="N464" s="766"/>
      <c r="O464" s="767"/>
      <c r="P464" s="476"/>
      <c r="Q464" s="375"/>
      <c r="R464" s="456">
        <v>0</v>
      </c>
      <c r="S464" s="108">
        <f t="shared" si="27"/>
        <v>0</v>
      </c>
      <c r="T464" s="148"/>
      <c r="U464" s="148"/>
      <c r="V464" s="148"/>
      <c r="W464" s="14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/>
      <c r="AH464" s="148"/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</row>
    <row r="465" spans="1:52" ht="12.75" x14ac:dyDescent="0.2">
      <c r="A465" s="768"/>
      <c r="B465" s="769"/>
      <c r="C465" s="769"/>
      <c r="D465" s="769"/>
      <c r="E465" s="769"/>
      <c r="F465" s="770"/>
      <c r="G465" s="474"/>
      <c r="H465" s="373"/>
      <c r="I465" s="410">
        <v>0</v>
      </c>
      <c r="J465" s="371">
        <f t="shared" ref="J465:J496" si="28">SUM(G465*H465*I465%)</f>
        <v>0</v>
      </c>
      <c r="K465" s="765"/>
      <c r="L465" s="766"/>
      <c r="M465" s="766"/>
      <c r="N465" s="766"/>
      <c r="O465" s="767"/>
      <c r="P465" s="477"/>
      <c r="Q465" s="375"/>
      <c r="R465" s="456">
        <v>0</v>
      </c>
      <c r="S465" s="108">
        <f t="shared" si="27"/>
        <v>0</v>
      </c>
      <c r="T465" s="148"/>
      <c r="U465" s="148"/>
      <c r="V465" s="148"/>
      <c r="W465" s="14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</row>
    <row r="466" spans="1:52" ht="12.75" x14ac:dyDescent="0.2">
      <c r="A466" s="768"/>
      <c r="B466" s="769"/>
      <c r="C466" s="769"/>
      <c r="D466" s="769"/>
      <c r="E466" s="769"/>
      <c r="F466" s="770"/>
      <c r="G466" s="474"/>
      <c r="H466" s="373"/>
      <c r="I466" s="410">
        <v>0</v>
      </c>
      <c r="J466" s="108">
        <f t="shared" si="28"/>
        <v>0</v>
      </c>
      <c r="K466" s="765"/>
      <c r="L466" s="766"/>
      <c r="M466" s="766"/>
      <c r="N466" s="766"/>
      <c r="O466" s="767"/>
      <c r="P466" s="476"/>
      <c r="Q466" s="375"/>
      <c r="R466" s="456">
        <v>0</v>
      </c>
      <c r="S466" s="108">
        <f t="shared" si="27"/>
        <v>0</v>
      </c>
      <c r="T466" s="148"/>
      <c r="U466" s="148"/>
      <c r="V466" s="148"/>
      <c r="W466" s="148"/>
      <c r="X466" s="148"/>
      <c r="Y466" s="148"/>
      <c r="Z466" s="148"/>
      <c r="AA466" s="148"/>
      <c r="AB466" s="148"/>
      <c r="AC466" s="148"/>
      <c r="AD466" s="148"/>
      <c r="AE466" s="148"/>
      <c r="AF466" s="148"/>
      <c r="AG466" s="148"/>
      <c r="AH466" s="148"/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</row>
    <row r="467" spans="1:52" ht="12.75" x14ac:dyDescent="0.2">
      <c r="A467" s="768"/>
      <c r="B467" s="769"/>
      <c r="C467" s="769"/>
      <c r="D467" s="769"/>
      <c r="E467" s="769"/>
      <c r="F467" s="770"/>
      <c r="G467" s="474"/>
      <c r="H467" s="373"/>
      <c r="I467" s="410">
        <v>0</v>
      </c>
      <c r="J467" s="371">
        <f t="shared" si="28"/>
        <v>0</v>
      </c>
      <c r="K467" s="765"/>
      <c r="L467" s="766"/>
      <c r="M467" s="766"/>
      <c r="N467" s="766"/>
      <c r="O467" s="767"/>
      <c r="P467" s="477"/>
      <c r="Q467" s="375"/>
      <c r="R467" s="456">
        <v>0</v>
      </c>
      <c r="S467" s="108">
        <f t="shared" si="27"/>
        <v>0</v>
      </c>
      <c r="T467" s="148"/>
      <c r="U467" s="148"/>
      <c r="V467" s="148"/>
      <c r="W467" s="148"/>
      <c r="X467" s="148"/>
      <c r="Y467" s="148"/>
      <c r="Z467" s="148"/>
      <c r="AA467" s="148"/>
      <c r="AB467" s="148"/>
      <c r="AC467" s="148"/>
      <c r="AD467" s="148"/>
      <c r="AE467" s="148"/>
      <c r="AF467" s="148"/>
      <c r="AG467" s="148"/>
      <c r="AH467" s="148"/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</row>
    <row r="468" spans="1:52" ht="12.75" x14ac:dyDescent="0.2">
      <c r="A468" s="768"/>
      <c r="B468" s="769"/>
      <c r="C468" s="769"/>
      <c r="D468" s="769"/>
      <c r="E468" s="769"/>
      <c r="F468" s="770"/>
      <c r="G468" s="474"/>
      <c r="H468" s="373"/>
      <c r="I468" s="410">
        <v>0</v>
      </c>
      <c r="J468" s="108">
        <f t="shared" si="28"/>
        <v>0</v>
      </c>
      <c r="K468" s="765"/>
      <c r="L468" s="766"/>
      <c r="M468" s="766"/>
      <c r="N468" s="766"/>
      <c r="O468" s="767"/>
      <c r="P468" s="476"/>
      <c r="Q468" s="375"/>
      <c r="R468" s="456">
        <v>0</v>
      </c>
      <c r="S468" s="108">
        <f t="shared" si="27"/>
        <v>0</v>
      </c>
      <c r="T468" s="148"/>
      <c r="U468" s="148"/>
      <c r="V468" s="148"/>
      <c r="W468" s="148"/>
      <c r="X468" s="148"/>
      <c r="Y468" s="148"/>
      <c r="Z468" s="148"/>
      <c r="AA468" s="148"/>
      <c r="AB468" s="148"/>
      <c r="AC468" s="148"/>
      <c r="AD468" s="148"/>
      <c r="AE468" s="148"/>
      <c r="AF468" s="148"/>
      <c r="AG468" s="148"/>
      <c r="AH468" s="148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</row>
    <row r="469" spans="1:52" ht="12.75" x14ac:dyDescent="0.2">
      <c r="A469" s="768"/>
      <c r="B469" s="769"/>
      <c r="C469" s="769"/>
      <c r="D469" s="769"/>
      <c r="E469" s="769"/>
      <c r="F469" s="770"/>
      <c r="G469" s="474"/>
      <c r="H469" s="373"/>
      <c r="I469" s="410">
        <v>0</v>
      </c>
      <c r="J469" s="371">
        <f t="shared" si="28"/>
        <v>0</v>
      </c>
      <c r="K469" s="765"/>
      <c r="L469" s="766"/>
      <c r="M469" s="766"/>
      <c r="N469" s="766"/>
      <c r="O469" s="767"/>
      <c r="P469" s="477"/>
      <c r="Q469" s="375"/>
      <c r="R469" s="456">
        <v>0</v>
      </c>
      <c r="S469" s="108">
        <f t="shared" si="27"/>
        <v>0</v>
      </c>
      <c r="T469" s="148"/>
      <c r="U469" s="148"/>
      <c r="V469" s="148"/>
      <c r="W469" s="148"/>
      <c r="X469" s="148"/>
      <c r="Y469" s="148"/>
      <c r="Z469" s="148"/>
      <c r="AA469" s="148"/>
      <c r="AB469" s="148"/>
      <c r="AC469" s="148"/>
      <c r="AD469" s="148"/>
      <c r="AE469" s="148"/>
      <c r="AF469" s="148"/>
      <c r="AG469" s="148"/>
      <c r="AH469" s="148"/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</row>
    <row r="470" spans="1:52" ht="12.75" x14ac:dyDescent="0.2">
      <c r="A470" s="768"/>
      <c r="B470" s="769"/>
      <c r="C470" s="769"/>
      <c r="D470" s="769"/>
      <c r="E470" s="769"/>
      <c r="F470" s="770"/>
      <c r="G470" s="474"/>
      <c r="H470" s="373"/>
      <c r="I470" s="410">
        <v>0</v>
      </c>
      <c r="J470" s="108">
        <f t="shared" si="28"/>
        <v>0</v>
      </c>
      <c r="K470" s="765"/>
      <c r="L470" s="766"/>
      <c r="M470" s="766"/>
      <c r="N470" s="766"/>
      <c r="O470" s="767"/>
      <c r="P470" s="476"/>
      <c r="Q470" s="375"/>
      <c r="R470" s="456">
        <v>0</v>
      </c>
      <c r="S470" s="108">
        <f t="shared" si="27"/>
        <v>0</v>
      </c>
      <c r="T470" s="148"/>
      <c r="U470" s="148"/>
      <c r="V470" s="148"/>
      <c r="W470" s="148"/>
      <c r="X470" s="148"/>
      <c r="Y470" s="148"/>
      <c r="Z470" s="148"/>
      <c r="AA470" s="148"/>
      <c r="AB470" s="148"/>
      <c r="AC470" s="148"/>
      <c r="AD470" s="148"/>
      <c r="AE470" s="148"/>
      <c r="AF470" s="148"/>
      <c r="AG470" s="148"/>
      <c r="AH470" s="148"/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</row>
    <row r="471" spans="1:52" ht="12.75" x14ac:dyDescent="0.2">
      <c r="A471" s="768"/>
      <c r="B471" s="769"/>
      <c r="C471" s="769"/>
      <c r="D471" s="769"/>
      <c r="E471" s="769"/>
      <c r="F471" s="770"/>
      <c r="G471" s="474"/>
      <c r="H471" s="373"/>
      <c r="I471" s="410">
        <v>0</v>
      </c>
      <c r="J471" s="371">
        <f t="shared" si="28"/>
        <v>0</v>
      </c>
      <c r="K471" s="765"/>
      <c r="L471" s="766"/>
      <c r="M471" s="766"/>
      <c r="N471" s="766"/>
      <c r="O471" s="767"/>
      <c r="P471" s="477"/>
      <c r="Q471" s="375"/>
      <c r="R471" s="456">
        <v>0</v>
      </c>
      <c r="S471" s="108">
        <f t="shared" si="27"/>
        <v>0</v>
      </c>
      <c r="T471" s="148"/>
      <c r="U471" s="148"/>
      <c r="V471" s="148"/>
      <c r="W471" s="14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</row>
    <row r="472" spans="1:52" ht="12.75" x14ac:dyDescent="0.2">
      <c r="A472" s="768"/>
      <c r="B472" s="769"/>
      <c r="C472" s="769"/>
      <c r="D472" s="769"/>
      <c r="E472" s="769"/>
      <c r="F472" s="770"/>
      <c r="G472" s="474"/>
      <c r="H472" s="373"/>
      <c r="I472" s="410">
        <v>0</v>
      </c>
      <c r="J472" s="108">
        <f t="shared" si="28"/>
        <v>0</v>
      </c>
      <c r="K472" s="765"/>
      <c r="L472" s="766"/>
      <c r="M472" s="766"/>
      <c r="N472" s="766"/>
      <c r="O472" s="767"/>
      <c r="P472" s="476"/>
      <c r="Q472" s="375"/>
      <c r="R472" s="456">
        <v>0</v>
      </c>
      <c r="S472" s="108">
        <f t="shared" si="27"/>
        <v>0</v>
      </c>
      <c r="T472" s="148"/>
      <c r="U472" s="148"/>
      <c r="V472" s="148"/>
      <c r="W472" s="148"/>
      <c r="X472" s="148"/>
      <c r="Y472" s="148"/>
      <c r="Z472" s="148"/>
      <c r="AA472" s="148"/>
      <c r="AB472" s="148"/>
      <c r="AC472" s="148"/>
      <c r="AD472" s="148"/>
      <c r="AE472" s="148"/>
      <c r="AF472" s="148"/>
      <c r="AG472" s="148"/>
      <c r="AH472" s="148"/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</row>
    <row r="473" spans="1:52" ht="12.75" x14ac:dyDescent="0.2">
      <c r="A473" s="768"/>
      <c r="B473" s="769"/>
      <c r="C473" s="769"/>
      <c r="D473" s="769"/>
      <c r="E473" s="769"/>
      <c r="F473" s="770"/>
      <c r="G473" s="474"/>
      <c r="H473" s="373"/>
      <c r="I473" s="410">
        <v>0</v>
      </c>
      <c r="J473" s="371">
        <f t="shared" si="28"/>
        <v>0</v>
      </c>
      <c r="K473" s="765"/>
      <c r="L473" s="766"/>
      <c r="M473" s="766"/>
      <c r="N473" s="766"/>
      <c r="O473" s="767"/>
      <c r="P473" s="477"/>
      <c r="Q473" s="375"/>
      <c r="R473" s="456">
        <v>0</v>
      </c>
      <c r="S473" s="108">
        <f t="shared" si="27"/>
        <v>0</v>
      </c>
      <c r="T473" s="148"/>
      <c r="U473" s="148"/>
      <c r="V473" s="148"/>
      <c r="W473" s="148"/>
      <c r="X473" s="148"/>
      <c r="Y473" s="148"/>
      <c r="Z473" s="148"/>
      <c r="AA473" s="148"/>
      <c r="AB473" s="148"/>
      <c r="AC473" s="148"/>
      <c r="AD473" s="148"/>
      <c r="AE473" s="148"/>
      <c r="AF473" s="148"/>
      <c r="AG473" s="148"/>
      <c r="AH473" s="148"/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</row>
    <row r="474" spans="1:52" ht="12.75" x14ac:dyDescent="0.2">
      <c r="A474" s="768"/>
      <c r="B474" s="769"/>
      <c r="C474" s="769"/>
      <c r="D474" s="769"/>
      <c r="E474" s="769"/>
      <c r="F474" s="770"/>
      <c r="G474" s="474"/>
      <c r="H474" s="373"/>
      <c r="I474" s="410">
        <v>0</v>
      </c>
      <c r="J474" s="108">
        <f t="shared" si="28"/>
        <v>0</v>
      </c>
      <c r="K474" s="765"/>
      <c r="L474" s="766"/>
      <c r="M474" s="766"/>
      <c r="N474" s="766"/>
      <c r="O474" s="767"/>
      <c r="P474" s="476"/>
      <c r="Q474" s="375"/>
      <c r="R474" s="456">
        <v>0</v>
      </c>
      <c r="S474" s="108">
        <f t="shared" si="27"/>
        <v>0</v>
      </c>
      <c r="T474" s="148"/>
      <c r="U474" s="148"/>
      <c r="V474" s="148"/>
      <c r="W474" s="14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</row>
    <row r="475" spans="1:52" ht="12.75" x14ac:dyDescent="0.2">
      <c r="A475" s="768"/>
      <c r="B475" s="769"/>
      <c r="C475" s="769"/>
      <c r="D475" s="769"/>
      <c r="E475" s="769"/>
      <c r="F475" s="770"/>
      <c r="G475" s="474"/>
      <c r="H475" s="373"/>
      <c r="I475" s="410">
        <v>0</v>
      </c>
      <c r="J475" s="371">
        <f t="shared" si="28"/>
        <v>0</v>
      </c>
      <c r="K475" s="765"/>
      <c r="L475" s="766"/>
      <c r="M475" s="766"/>
      <c r="N475" s="766"/>
      <c r="O475" s="767"/>
      <c r="P475" s="477"/>
      <c r="Q475" s="375"/>
      <c r="R475" s="456">
        <v>0</v>
      </c>
      <c r="S475" s="108">
        <f t="shared" si="27"/>
        <v>0</v>
      </c>
      <c r="T475" s="148"/>
      <c r="U475" s="148"/>
      <c r="V475" s="148"/>
      <c r="W475" s="14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/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</row>
    <row r="476" spans="1:52" ht="12.75" x14ac:dyDescent="0.2">
      <c r="A476" s="768"/>
      <c r="B476" s="769"/>
      <c r="C476" s="769"/>
      <c r="D476" s="769"/>
      <c r="E476" s="769"/>
      <c r="F476" s="770"/>
      <c r="G476" s="474"/>
      <c r="H476" s="373"/>
      <c r="I476" s="410">
        <v>0</v>
      </c>
      <c r="J476" s="108">
        <f t="shared" si="28"/>
        <v>0</v>
      </c>
      <c r="K476" s="765"/>
      <c r="L476" s="766"/>
      <c r="M476" s="766"/>
      <c r="N476" s="766"/>
      <c r="O476" s="767"/>
      <c r="P476" s="476"/>
      <c r="Q476" s="375"/>
      <c r="R476" s="456">
        <v>0</v>
      </c>
      <c r="S476" s="108">
        <f t="shared" si="27"/>
        <v>0</v>
      </c>
      <c r="T476" s="148"/>
      <c r="U476" s="148"/>
      <c r="V476" s="148"/>
      <c r="W476" s="14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/>
      <c r="AH476" s="148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</row>
    <row r="477" spans="1:52" ht="12.75" x14ac:dyDescent="0.2">
      <c r="A477" s="768"/>
      <c r="B477" s="769"/>
      <c r="C477" s="769"/>
      <c r="D477" s="769"/>
      <c r="E477" s="769"/>
      <c r="F477" s="770"/>
      <c r="G477" s="474"/>
      <c r="H477" s="373"/>
      <c r="I477" s="410">
        <v>0</v>
      </c>
      <c r="J477" s="371">
        <f t="shared" si="28"/>
        <v>0</v>
      </c>
      <c r="K477" s="765"/>
      <c r="L477" s="766"/>
      <c r="M477" s="766"/>
      <c r="N477" s="766"/>
      <c r="O477" s="767"/>
      <c r="P477" s="477"/>
      <c r="Q477" s="375"/>
      <c r="R477" s="456">
        <v>0</v>
      </c>
      <c r="S477" s="108">
        <f t="shared" si="27"/>
        <v>0</v>
      </c>
      <c r="T477" s="148"/>
      <c r="U477" s="148"/>
      <c r="V477" s="148"/>
      <c r="W477" s="14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</row>
    <row r="478" spans="1:52" ht="12.75" x14ac:dyDescent="0.2">
      <c r="A478" s="768"/>
      <c r="B478" s="769"/>
      <c r="C478" s="769"/>
      <c r="D478" s="769"/>
      <c r="E478" s="769"/>
      <c r="F478" s="770"/>
      <c r="G478" s="474"/>
      <c r="H478" s="373"/>
      <c r="I478" s="410">
        <v>0</v>
      </c>
      <c r="J478" s="108">
        <f t="shared" si="28"/>
        <v>0</v>
      </c>
      <c r="K478" s="765"/>
      <c r="L478" s="766"/>
      <c r="M478" s="766"/>
      <c r="N478" s="766"/>
      <c r="O478" s="767"/>
      <c r="P478" s="476"/>
      <c r="Q478" s="375"/>
      <c r="R478" s="456">
        <v>0</v>
      </c>
      <c r="S478" s="108">
        <f t="shared" si="27"/>
        <v>0</v>
      </c>
      <c r="T478" s="148"/>
      <c r="U478" s="148"/>
      <c r="V478" s="148"/>
      <c r="W478" s="14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/>
      <c r="AH478" s="148"/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</row>
    <row r="479" spans="1:52" ht="12.75" x14ac:dyDescent="0.2">
      <c r="A479" s="768"/>
      <c r="B479" s="769"/>
      <c r="C479" s="769"/>
      <c r="D479" s="769"/>
      <c r="E479" s="769"/>
      <c r="F479" s="770"/>
      <c r="G479" s="474"/>
      <c r="H479" s="373"/>
      <c r="I479" s="410">
        <v>0</v>
      </c>
      <c r="J479" s="371">
        <f t="shared" si="28"/>
        <v>0</v>
      </c>
      <c r="K479" s="765"/>
      <c r="L479" s="766"/>
      <c r="M479" s="766"/>
      <c r="N479" s="766"/>
      <c r="O479" s="767"/>
      <c r="P479" s="478"/>
      <c r="Q479" s="375"/>
      <c r="R479" s="456">
        <v>0</v>
      </c>
      <c r="S479" s="108">
        <f t="shared" si="27"/>
        <v>0</v>
      </c>
      <c r="T479" s="148"/>
      <c r="U479" s="148"/>
      <c r="V479" s="148"/>
      <c r="W479" s="14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/>
      <c r="AH479" s="148"/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</row>
    <row r="480" spans="1:52" ht="12.75" x14ac:dyDescent="0.2">
      <c r="A480" s="768"/>
      <c r="B480" s="769"/>
      <c r="C480" s="769"/>
      <c r="D480" s="769"/>
      <c r="E480" s="769"/>
      <c r="F480" s="770"/>
      <c r="G480" s="474"/>
      <c r="H480" s="372"/>
      <c r="I480" s="409">
        <v>0</v>
      </c>
      <c r="J480" s="108">
        <f t="shared" si="28"/>
        <v>0</v>
      </c>
      <c r="K480" s="765"/>
      <c r="L480" s="766"/>
      <c r="M480" s="766"/>
      <c r="N480" s="766"/>
      <c r="O480" s="767"/>
      <c r="P480" s="475"/>
      <c r="Q480" s="379"/>
      <c r="R480" s="455">
        <v>0</v>
      </c>
      <c r="S480" s="108">
        <f t="shared" si="27"/>
        <v>0</v>
      </c>
      <c r="T480" s="148"/>
      <c r="U480" s="148"/>
      <c r="V480" s="148"/>
      <c r="W480" s="14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</row>
    <row r="481" spans="1:52" ht="12.75" x14ac:dyDescent="0.2">
      <c r="A481" s="768"/>
      <c r="B481" s="769"/>
      <c r="C481" s="769"/>
      <c r="D481" s="769"/>
      <c r="E481" s="769"/>
      <c r="F481" s="770"/>
      <c r="G481" s="474"/>
      <c r="H481" s="373"/>
      <c r="I481" s="410">
        <v>0</v>
      </c>
      <c r="J481" s="371">
        <f t="shared" si="28"/>
        <v>0</v>
      </c>
      <c r="K481" s="765"/>
      <c r="L481" s="766"/>
      <c r="M481" s="766"/>
      <c r="N481" s="766"/>
      <c r="O481" s="767"/>
      <c r="P481" s="476"/>
      <c r="Q481" s="375"/>
      <c r="R481" s="456">
        <v>0</v>
      </c>
      <c r="S481" s="108">
        <f t="shared" si="27"/>
        <v>0</v>
      </c>
      <c r="T481" s="148"/>
      <c r="U481" s="148"/>
      <c r="V481" s="148"/>
      <c r="W481" s="14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</row>
    <row r="482" spans="1:52" ht="12.75" x14ac:dyDescent="0.2">
      <c r="A482" s="768"/>
      <c r="B482" s="769"/>
      <c r="C482" s="769"/>
      <c r="D482" s="769"/>
      <c r="E482" s="769"/>
      <c r="F482" s="770"/>
      <c r="G482" s="474"/>
      <c r="H482" s="373"/>
      <c r="I482" s="410">
        <v>0</v>
      </c>
      <c r="J482" s="108">
        <f t="shared" si="28"/>
        <v>0</v>
      </c>
      <c r="K482" s="765"/>
      <c r="L482" s="766"/>
      <c r="M482" s="766"/>
      <c r="N482" s="766"/>
      <c r="O482" s="767"/>
      <c r="P482" s="477"/>
      <c r="Q482" s="375"/>
      <c r="R482" s="456">
        <v>0</v>
      </c>
      <c r="S482" s="108">
        <f t="shared" si="27"/>
        <v>0</v>
      </c>
      <c r="T482" s="148"/>
      <c r="U482" s="148"/>
      <c r="V482" s="148"/>
      <c r="W482" s="14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</row>
    <row r="483" spans="1:52" ht="12.75" x14ac:dyDescent="0.2">
      <c r="A483" s="768"/>
      <c r="B483" s="769"/>
      <c r="C483" s="769"/>
      <c r="D483" s="769"/>
      <c r="E483" s="769"/>
      <c r="F483" s="770"/>
      <c r="G483" s="474"/>
      <c r="H483" s="373"/>
      <c r="I483" s="410">
        <v>0</v>
      </c>
      <c r="J483" s="371">
        <f t="shared" si="28"/>
        <v>0</v>
      </c>
      <c r="K483" s="765"/>
      <c r="L483" s="766"/>
      <c r="M483" s="766"/>
      <c r="N483" s="766"/>
      <c r="O483" s="767"/>
      <c r="P483" s="476"/>
      <c r="Q483" s="375"/>
      <c r="R483" s="456">
        <v>0</v>
      </c>
      <c r="S483" s="108">
        <f t="shared" si="27"/>
        <v>0</v>
      </c>
      <c r="T483" s="148"/>
      <c r="U483" s="148"/>
      <c r="V483" s="148"/>
      <c r="W483" s="148"/>
      <c r="X483" s="148"/>
      <c r="Y483" s="148"/>
      <c r="Z483" s="148"/>
      <c r="AA483" s="148"/>
      <c r="AB483" s="148"/>
      <c r="AC483" s="148"/>
      <c r="AD483" s="148"/>
      <c r="AE483" s="148"/>
      <c r="AF483" s="148"/>
      <c r="AG483" s="148"/>
      <c r="AH483" s="148"/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</row>
    <row r="484" spans="1:52" ht="12.75" x14ac:dyDescent="0.2">
      <c r="A484" s="768"/>
      <c r="B484" s="769"/>
      <c r="C484" s="769"/>
      <c r="D484" s="769"/>
      <c r="E484" s="769"/>
      <c r="F484" s="770"/>
      <c r="G484" s="474"/>
      <c r="H484" s="373"/>
      <c r="I484" s="410">
        <v>0</v>
      </c>
      <c r="J484" s="108">
        <f t="shared" si="28"/>
        <v>0</v>
      </c>
      <c r="K484" s="765"/>
      <c r="L484" s="766"/>
      <c r="M484" s="766"/>
      <c r="N484" s="766"/>
      <c r="O484" s="767"/>
      <c r="P484" s="477"/>
      <c r="Q484" s="375"/>
      <c r="R484" s="456">
        <v>0</v>
      </c>
      <c r="S484" s="108">
        <f t="shared" si="27"/>
        <v>0</v>
      </c>
      <c r="T484" s="148"/>
      <c r="U484" s="148"/>
      <c r="V484" s="148"/>
      <c r="W484" s="14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</row>
    <row r="485" spans="1:52" ht="12.75" x14ac:dyDescent="0.2">
      <c r="A485" s="768"/>
      <c r="B485" s="769"/>
      <c r="C485" s="769"/>
      <c r="D485" s="769"/>
      <c r="E485" s="769"/>
      <c r="F485" s="770"/>
      <c r="G485" s="474"/>
      <c r="H485" s="373"/>
      <c r="I485" s="410">
        <v>0</v>
      </c>
      <c r="J485" s="371">
        <f t="shared" si="28"/>
        <v>0</v>
      </c>
      <c r="K485" s="765"/>
      <c r="L485" s="766"/>
      <c r="M485" s="766"/>
      <c r="N485" s="766"/>
      <c r="O485" s="767"/>
      <c r="P485" s="476"/>
      <c r="Q485" s="375"/>
      <c r="R485" s="456">
        <v>0</v>
      </c>
      <c r="S485" s="108">
        <f t="shared" si="27"/>
        <v>0</v>
      </c>
      <c r="T485" s="148"/>
      <c r="U485" s="148"/>
      <c r="V485" s="148"/>
      <c r="W485" s="14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</row>
    <row r="486" spans="1:52" ht="12.75" x14ac:dyDescent="0.2">
      <c r="A486" s="768"/>
      <c r="B486" s="769"/>
      <c r="C486" s="769"/>
      <c r="D486" s="769"/>
      <c r="E486" s="769"/>
      <c r="F486" s="770"/>
      <c r="G486" s="474"/>
      <c r="H486" s="373"/>
      <c r="I486" s="410">
        <v>0</v>
      </c>
      <c r="J486" s="108">
        <f t="shared" si="28"/>
        <v>0</v>
      </c>
      <c r="K486" s="765"/>
      <c r="L486" s="766"/>
      <c r="M486" s="766"/>
      <c r="N486" s="766"/>
      <c r="O486" s="767"/>
      <c r="P486" s="477"/>
      <c r="Q486" s="375"/>
      <c r="R486" s="456">
        <v>0</v>
      </c>
      <c r="S486" s="108">
        <f t="shared" si="27"/>
        <v>0</v>
      </c>
      <c r="T486" s="148"/>
      <c r="U486" s="148"/>
      <c r="V486" s="148"/>
      <c r="W486" s="14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/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</row>
    <row r="487" spans="1:52" ht="12.75" x14ac:dyDescent="0.2">
      <c r="A487" s="768"/>
      <c r="B487" s="769"/>
      <c r="C487" s="769"/>
      <c r="D487" s="769"/>
      <c r="E487" s="769"/>
      <c r="F487" s="770"/>
      <c r="G487" s="474"/>
      <c r="H487" s="373"/>
      <c r="I487" s="410">
        <v>0</v>
      </c>
      <c r="J487" s="371">
        <f t="shared" si="28"/>
        <v>0</v>
      </c>
      <c r="K487" s="765"/>
      <c r="L487" s="766"/>
      <c r="M487" s="766"/>
      <c r="N487" s="766"/>
      <c r="O487" s="767"/>
      <c r="P487" s="476"/>
      <c r="Q487" s="375"/>
      <c r="R487" s="456">
        <v>0</v>
      </c>
      <c r="S487" s="108">
        <f t="shared" si="27"/>
        <v>0</v>
      </c>
      <c r="T487" s="148"/>
      <c r="U487" s="148"/>
      <c r="V487" s="148"/>
      <c r="W487" s="14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</row>
    <row r="488" spans="1:52" ht="12.75" x14ac:dyDescent="0.2">
      <c r="A488" s="768"/>
      <c r="B488" s="769"/>
      <c r="C488" s="769"/>
      <c r="D488" s="769"/>
      <c r="E488" s="769"/>
      <c r="F488" s="770"/>
      <c r="G488" s="474"/>
      <c r="H488" s="373"/>
      <c r="I488" s="410">
        <v>0</v>
      </c>
      <c r="J488" s="108">
        <f t="shared" si="28"/>
        <v>0</v>
      </c>
      <c r="K488" s="765"/>
      <c r="L488" s="766"/>
      <c r="M488" s="766"/>
      <c r="N488" s="766"/>
      <c r="O488" s="767"/>
      <c r="P488" s="477"/>
      <c r="Q488" s="375"/>
      <c r="R488" s="456">
        <v>0</v>
      </c>
      <c r="S488" s="108">
        <f t="shared" si="27"/>
        <v>0</v>
      </c>
      <c r="T488" s="148"/>
      <c r="U488" s="148"/>
      <c r="V488" s="148"/>
      <c r="W488" s="14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</row>
    <row r="489" spans="1:52" ht="12.75" x14ac:dyDescent="0.2">
      <c r="A489" s="768"/>
      <c r="B489" s="769"/>
      <c r="C489" s="769"/>
      <c r="D489" s="769"/>
      <c r="E489" s="769"/>
      <c r="F489" s="770"/>
      <c r="G489" s="474"/>
      <c r="H489" s="373"/>
      <c r="I489" s="410">
        <v>0</v>
      </c>
      <c r="J489" s="371">
        <f t="shared" si="28"/>
        <v>0</v>
      </c>
      <c r="K489" s="765"/>
      <c r="L489" s="766"/>
      <c r="M489" s="766"/>
      <c r="N489" s="766"/>
      <c r="O489" s="767"/>
      <c r="P489" s="476"/>
      <c r="Q489" s="375"/>
      <c r="R489" s="456">
        <v>0</v>
      </c>
      <c r="S489" s="108">
        <f t="shared" si="27"/>
        <v>0</v>
      </c>
      <c r="T489" s="148"/>
      <c r="U489" s="148"/>
      <c r="V489" s="148"/>
      <c r="W489" s="14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</row>
    <row r="490" spans="1:52" ht="12.75" x14ac:dyDescent="0.2">
      <c r="A490" s="768"/>
      <c r="B490" s="769"/>
      <c r="C490" s="769"/>
      <c r="D490" s="769"/>
      <c r="E490" s="769"/>
      <c r="F490" s="770"/>
      <c r="G490" s="474"/>
      <c r="H490" s="373"/>
      <c r="I490" s="410">
        <v>0</v>
      </c>
      <c r="J490" s="108">
        <f t="shared" si="28"/>
        <v>0</v>
      </c>
      <c r="K490" s="765"/>
      <c r="L490" s="766"/>
      <c r="M490" s="766"/>
      <c r="N490" s="766"/>
      <c r="O490" s="767"/>
      <c r="P490" s="477"/>
      <c r="Q490" s="375"/>
      <c r="R490" s="456">
        <v>0</v>
      </c>
      <c r="S490" s="108">
        <f t="shared" si="27"/>
        <v>0</v>
      </c>
      <c r="T490" s="148"/>
      <c r="U490" s="148"/>
      <c r="V490" s="148"/>
      <c r="W490" s="14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/>
      <c r="AH490" s="148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</row>
    <row r="491" spans="1:52" ht="12.75" x14ac:dyDescent="0.2">
      <c r="A491" s="768"/>
      <c r="B491" s="769"/>
      <c r="C491" s="769"/>
      <c r="D491" s="769"/>
      <c r="E491" s="769"/>
      <c r="F491" s="770"/>
      <c r="G491" s="474"/>
      <c r="H491" s="373"/>
      <c r="I491" s="410">
        <v>0</v>
      </c>
      <c r="J491" s="371">
        <f t="shared" si="28"/>
        <v>0</v>
      </c>
      <c r="K491" s="765"/>
      <c r="L491" s="766"/>
      <c r="M491" s="766"/>
      <c r="N491" s="766"/>
      <c r="O491" s="767"/>
      <c r="P491" s="476"/>
      <c r="Q491" s="375"/>
      <c r="R491" s="456">
        <v>0</v>
      </c>
      <c r="S491" s="108">
        <f t="shared" si="27"/>
        <v>0</v>
      </c>
      <c r="T491" s="148"/>
      <c r="U491" s="148"/>
      <c r="V491" s="148"/>
      <c r="W491" s="14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/>
      <c r="AH491" s="148"/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</row>
    <row r="492" spans="1:52" ht="12.75" x14ac:dyDescent="0.2">
      <c r="A492" s="768"/>
      <c r="B492" s="769"/>
      <c r="C492" s="769"/>
      <c r="D492" s="769"/>
      <c r="E492" s="769"/>
      <c r="F492" s="770"/>
      <c r="G492" s="474"/>
      <c r="H492" s="373"/>
      <c r="I492" s="410">
        <v>0</v>
      </c>
      <c r="J492" s="108">
        <f t="shared" si="28"/>
        <v>0</v>
      </c>
      <c r="K492" s="765"/>
      <c r="L492" s="766"/>
      <c r="M492" s="766"/>
      <c r="N492" s="766"/>
      <c r="O492" s="767"/>
      <c r="P492" s="477"/>
      <c r="Q492" s="375"/>
      <c r="R492" s="456">
        <v>0</v>
      </c>
      <c r="S492" s="108">
        <f t="shared" si="27"/>
        <v>0</v>
      </c>
      <c r="T492" s="148"/>
      <c r="U492" s="148"/>
      <c r="V492" s="148"/>
      <c r="W492" s="14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/>
      <c r="AH492" s="148"/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</row>
    <row r="493" spans="1:52" ht="12.75" x14ac:dyDescent="0.2">
      <c r="A493" s="768"/>
      <c r="B493" s="769"/>
      <c r="C493" s="769"/>
      <c r="D493" s="769"/>
      <c r="E493" s="769"/>
      <c r="F493" s="770"/>
      <c r="G493" s="474"/>
      <c r="H493" s="373"/>
      <c r="I493" s="410">
        <v>0</v>
      </c>
      <c r="J493" s="371">
        <f t="shared" si="28"/>
        <v>0</v>
      </c>
      <c r="K493" s="765"/>
      <c r="L493" s="766"/>
      <c r="M493" s="766"/>
      <c r="N493" s="766"/>
      <c r="O493" s="767"/>
      <c r="P493" s="476"/>
      <c r="Q493" s="375"/>
      <c r="R493" s="456">
        <v>0</v>
      </c>
      <c r="S493" s="108">
        <f t="shared" si="27"/>
        <v>0</v>
      </c>
      <c r="T493" s="148"/>
      <c r="U493" s="148"/>
      <c r="V493" s="148"/>
      <c r="W493" s="148"/>
      <c r="X493" s="148"/>
      <c r="Y493" s="148"/>
      <c r="Z493" s="148"/>
      <c r="AA493" s="148"/>
      <c r="AB493" s="148"/>
      <c r="AC493" s="148"/>
      <c r="AD493" s="148"/>
      <c r="AE493" s="148"/>
      <c r="AF493" s="148"/>
      <c r="AG493" s="148"/>
      <c r="AH493" s="148"/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</row>
    <row r="494" spans="1:52" ht="12.75" x14ac:dyDescent="0.2">
      <c r="A494" s="768"/>
      <c r="B494" s="769"/>
      <c r="C494" s="769"/>
      <c r="D494" s="769"/>
      <c r="E494" s="769"/>
      <c r="F494" s="770"/>
      <c r="G494" s="474"/>
      <c r="H494" s="373"/>
      <c r="I494" s="410">
        <v>0</v>
      </c>
      <c r="J494" s="108">
        <f t="shared" si="28"/>
        <v>0</v>
      </c>
      <c r="K494" s="765"/>
      <c r="L494" s="766"/>
      <c r="M494" s="766"/>
      <c r="N494" s="766"/>
      <c r="O494" s="767"/>
      <c r="P494" s="477"/>
      <c r="Q494" s="375"/>
      <c r="R494" s="456">
        <v>0</v>
      </c>
      <c r="S494" s="108">
        <f t="shared" si="27"/>
        <v>0</v>
      </c>
      <c r="T494" s="148"/>
      <c r="U494" s="148"/>
      <c r="V494" s="148"/>
      <c r="W494" s="148"/>
      <c r="X494" s="148"/>
      <c r="Y494" s="148"/>
      <c r="Z494" s="148"/>
      <c r="AA494" s="148"/>
      <c r="AB494" s="148"/>
      <c r="AC494" s="148"/>
      <c r="AD494" s="148"/>
      <c r="AE494" s="148"/>
      <c r="AF494" s="148"/>
      <c r="AG494" s="148"/>
      <c r="AH494" s="148"/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</row>
    <row r="495" spans="1:52" ht="12.75" x14ac:dyDescent="0.2">
      <c r="A495" s="768"/>
      <c r="B495" s="769"/>
      <c r="C495" s="769"/>
      <c r="D495" s="769"/>
      <c r="E495" s="769"/>
      <c r="F495" s="770"/>
      <c r="G495" s="474"/>
      <c r="H495" s="373"/>
      <c r="I495" s="410">
        <v>0</v>
      </c>
      <c r="J495" s="371">
        <f t="shared" si="28"/>
        <v>0</v>
      </c>
      <c r="K495" s="765"/>
      <c r="L495" s="766"/>
      <c r="M495" s="766"/>
      <c r="N495" s="766"/>
      <c r="O495" s="767"/>
      <c r="P495" s="476"/>
      <c r="Q495" s="375"/>
      <c r="R495" s="456">
        <v>0</v>
      </c>
      <c r="S495" s="108">
        <f t="shared" si="27"/>
        <v>0</v>
      </c>
      <c r="T495" s="148"/>
      <c r="U495" s="148"/>
      <c r="V495" s="148"/>
      <c r="W495" s="14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/>
      <c r="AH495" s="148"/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</row>
    <row r="496" spans="1:52" ht="12.6" customHeight="1" x14ac:dyDescent="0.2">
      <c r="A496" s="768"/>
      <c r="B496" s="769"/>
      <c r="C496" s="769"/>
      <c r="D496" s="769"/>
      <c r="E496" s="769"/>
      <c r="F496" s="770"/>
      <c r="G496" s="474"/>
      <c r="H496" s="373"/>
      <c r="I496" s="410">
        <v>0</v>
      </c>
      <c r="J496" s="108">
        <f t="shared" si="28"/>
        <v>0</v>
      </c>
      <c r="K496" s="765"/>
      <c r="L496" s="766"/>
      <c r="M496" s="766"/>
      <c r="N496" s="766"/>
      <c r="O496" s="767"/>
      <c r="P496" s="478"/>
      <c r="Q496" s="375"/>
      <c r="R496" s="456">
        <v>0</v>
      </c>
      <c r="S496" s="108">
        <f t="shared" si="27"/>
        <v>0</v>
      </c>
      <c r="T496" s="148"/>
      <c r="U496" s="148"/>
      <c r="V496" s="148"/>
      <c r="W496" s="148"/>
      <c r="X496" s="148"/>
      <c r="Y496" s="148"/>
      <c r="Z496" s="148"/>
      <c r="AA496" s="148"/>
      <c r="AB496" s="148"/>
      <c r="AC496" s="148"/>
      <c r="AD496" s="148"/>
      <c r="AE496" s="148"/>
      <c r="AF496" s="148"/>
      <c r="AG496" s="148"/>
      <c r="AH496" s="148"/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</row>
    <row r="497" spans="1:52" ht="13.5" thickBot="1" x14ac:dyDescent="0.25">
      <c r="A497" s="120"/>
      <c r="B497" s="120"/>
      <c r="C497" s="120"/>
      <c r="D497" s="120"/>
      <c r="E497" s="120"/>
      <c r="F497" s="120"/>
      <c r="G497" s="120"/>
      <c r="H497" s="120"/>
      <c r="I497" s="174" t="s">
        <v>0</v>
      </c>
      <c r="J497" s="758">
        <f>SUM(J463:J496)</f>
        <v>0</v>
      </c>
      <c r="K497" s="175"/>
      <c r="L497" s="175"/>
      <c r="M497" s="175"/>
      <c r="N497" s="175"/>
      <c r="O497" s="175"/>
      <c r="P497" s="175"/>
      <c r="Q497" s="175"/>
      <c r="R497" s="174" t="s">
        <v>0</v>
      </c>
      <c r="S497" s="758">
        <f>SUM(S463:S496)</f>
        <v>0</v>
      </c>
      <c r="T497" s="148"/>
      <c r="U497" s="148"/>
      <c r="V497" s="148"/>
      <c r="W497" s="148"/>
      <c r="X497" s="148"/>
      <c r="Y497" s="148"/>
      <c r="Z497" s="148"/>
      <c r="AA497" s="148"/>
      <c r="AB497" s="148"/>
      <c r="AC497" s="148"/>
      <c r="AD497" s="148"/>
      <c r="AE497" s="148"/>
      <c r="AF497" s="148"/>
      <c r="AG497" s="148"/>
      <c r="AH497" s="148"/>
      <c r="AI497" s="148"/>
      <c r="AJ497" s="148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</row>
    <row r="498" spans="1:52" ht="8.25" customHeight="1" x14ac:dyDescent="0.2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48"/>
      <c r="U498" s="148"/>
      <c r="V498" s="148"/>
      <c r="W498" s="148"/>
      <c r="X498" s="148"/>
      <c r="Y498" s="148"/>
      <c r="Z498" s="148"/>
      <c r="AA498" s="148"/>
      <c r="AB498" s="148"/>
      <c r="AC498" s="148"/>
      <c r="AD498" s="148"/>
      <c r="AE498" s="148"/>
      <c r="AF498" s="148"/>
      <c r="AG498" s="148"/>
      <c r="AH498" s="148"/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</row>
    <row r="499" spans="1:52" ht="26.25" customHeight="1" thickBot="1" x14ac:dyDescent="0.25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74" t="s">
        <v>220</v>
      </c>
      <c r="Q499" s="174" t="s">
        <v>0</v>
      </c>
      <c r="R499" s="737">
        <f>SUM(J497+S497)</f>
        <v>0</v>
      </c>
      <c r="S499" s="120"/>
      <c r="T499" s="148"/>
      <c r="U499" s="148"/>
      <c r="V499" s="148"/>
      <c r="W499" s="148"/>
      <c r="X499" s="148"/>
      <c r="Y499" s="148"/>
      <c r="Z499" s="148"/>
      <c r="AA499" s="148"/>
      <c r="AB499" s="148"/>
      <c r="AC499" s="148"/>
      <c r="AD499" s="148"/>
      <c r="AE499" s="148"/>
      <c r="AF499" s="148"/>
      <c r="AG499" s="148"/>
      <c r="AH499" s="148"/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</row>
    <row r="500" spans="1:52" ht="19.5" customHeight="1" x14ac:dyDescent="0.45">
      <c r="A500" s="7"/>
      <c r="B500" s="17"/>
      <c r="C500" s="17"/>
      <c r="D500" s="17"/>
      <c r="E500" s="25"/>
      <c r="F500" s="25"/>
      <c r="G500" s="8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148"/>
      <c r="U500" s="148"/>
      <c r="V500" s="148"/>
      <c r="W500" s="14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/>
      <c r="AH500" s="148"/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</row>
    <row r="501" spans="1:52" ht="17.25" customHeight="1" x14ac:dyDescent="0.45">
      <c r="A501" s="38"/>
      <c r="B501" s="17"/>
      <c r="C501" s="17"/>
      <c r="D501" s="17"/>
      <c r="E501" s="25"/>
      <c r="F501" s="25"/>
      <c r="G501" s="8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39"/>
      <c r="T501" s="148"/>
      <c r="U501" s="148"/>
      <c r="V501" s="148"/>
      <c r="W501" s="148"/>
      <c r="X501" s="148"/>
      <c r="Y501" s="148"/>
      <c r="Z501" s="148"/>
      <c r="AA501" s="148"/>
      <c r="AB501" s="148"/>
      <c r="AC501" s="148"/>
      <c r="AD501" s="148"/>
      <c r="AE501" s="148"/>
      <c r="AF501" s="148"/>
      <c r="AG501" s="148"/>
      <c r="AH501" s="148"/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</row>
    <row r="502" spans="1:52" ht="18" customHeight="1" x14ac:dyDescent="0.25">
      <c r="A502" s="457"/>
      <c r="B502" s="457"/>
      <c r="C502" s="457"/>
      <c r="D502" s="457"/>
      <c r="E502" s="457"/>
      <c r="F502" s="457"/>
      <c r="G502" s="460" t="s">
        <v>303</v>
      </c>
      <c r="H502" s="460"/>
      <c r="I502" s="460"/>
      <c r="J502" s="460"/>
      <c r="K502" s="460"/>
      <c r="L502" s="460"/>
      <c r="M502" s="457"/>
      <c r="N502" s="366" t="s">
        <v>234</v>
      </c>
      <c r="O502" s="457"/>
      <c r="P502" s="457"/>
      <c r="Q502" s="457"/>
      <c r="R502" s="457"/>
      <c r="S502" s="457"/>
      <c r="T502" s="148"/>
      <c r="U502" s="148"/>
      <c r="V502" s="148"/>
      <c r="W502" s="148"/>
      <c r="X502" s="148"/>
      <c r="Y502" s="148"/>
      <c r="Z502" s="148"/>
      <c r="AA502" s="148"/>
      <c r="AB502" s="148"/>
      <c r="AC502" s="148"/>
      <c r="AD502" s="148"/>
      <c r="AE502" s="148"/>
      <c r="AF502" s="148"/>
      <c r="AG502" s="148"/>
      <c r="AH502" s="148"/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</row>
    <row r="503" spans="1:52" ht="12.75" x14ac:dyDescent="0.2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48"/>
      <c r="U503" s="148"/>
      <c r="V503" s="148"/>
      <c r="W503" s="148"/>
      <c r="X503" s="148"/>
      <c r="Y503" s="148"/>
      <c r="Z503" s="148"/>
      <c r="AA503" s="148"/>
      <c r="AB503" s="148"/>
      <c r="AC503" s="148"/>
      <c r="AD503" s="148"/>
      <c r="AE503" s="148"/>
      <c r="AF503" s="148"/>
      <c r="AG503" s="148"/>
      <c r="AH503" s="148"/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</row>
    <row r="504" spans="1:52" ht="12.75" x14ac:dyDescent="0.2">
      <c r="A504" s="461"/>
      <c r="B504" s="459"/>
      <c r="C504" s="176"/>
      <c r="D504" s="176"/>
      <c r="E504" s="176"/>
      <c r="F504" s="176"/>
      <c r="G504" s="176"/>
      <c r="H504" s="365" t="s">
        <v>300</v>
      </c>
      <c r="I504" s="176"/>
      <c r="J504" s="176"/>
      <c r="K504" s="176"/>
      <c r="L504" s="176"/>
      <c r="M504" s="177"/>
      <c r="N504" s="178" t="s">
        <v>301</v>
      </c>
      <c r="O504" s="178" t="s">
        <v>302</v>
      </c>
      <c r="P504" s="178" t="s">
        <v>304</v>
      </c>
      <c r="Q504" s="120"/>
      <c r="R504" s="120"/>
      <c r="S504" s="120"/>
      <c r="T504" s="148"/>
      <c r="U504" s="148"/>
      <c r="V504" s="148"/>
      <c r="W504" s="148"/>
      <c r="X504" s="148"/>
      <c r="Y504" s="148"/>
      <c r="Z504" s="148"/>
      <c r="AA504" s="148"/>
      <c r="AB504" s="148"/>
      <c r="AC504" s="148"/>
      <c r="AD504" s="148"/>
      <c r="AE504" s="148"/>
      <c r="AF504" s="148"/>
      <c r="AG504" s="148"/>
      <c r="AH504" s="148"/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</row>
    <row r="505" spans="1:52" ht="12.75" x14ac:dyDescent="0.2">
      <c r="A505" s="461"/>
      <c r="B505" s="790"/>
      <c r="C505" s="791"/>
      <c r="D505" s="791"/>
      <c r="E505" s="791"/>
      <c r="F505" s="791"/>
      <c r="G505" s="791"/>
      <c r="H505" s="791"/>
      <c r="I505" s="791"/>
      <c r="J505" s="791"/>
      <c r="K505" s="791"/>
      <c r="L505" s="791"/>
      <c r="M505" s="792"/>
      <c r="N505" s="374"/>
      <c r="O505" s="375"/>
      <c r="P505" s="255">
        <f>SUM(N505*O505)</f>
        <v>0</v>
      </c>
      <c r="Q505" s="120"/>
      <c r="R505" s="120"/>
      <c r="S505" s="120"/>
      <c r="T505" s="148"/>
      <c r="U505" s="148"/>
      <c r="V505" s="148"/>
      <c r="W505" s="148"/>
      <c r="X505" s="148"/>
      <c r="Y505" s="148"/>
      <c r="Z505" s="148"/>
      <c r="AA505" s="148"/>
      <c r="AB505" s="148"/>
      <c r="AC505" s="148"/>
      <c r="AD505" s="148"/>
      <c r="AE505" s="148"/>
      <c r="AF505" s="148"/>
      <c r="AG505" s="148"/>
      <c r="AH505" s="148"/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</row>
    <row r="506" spans="1:52" ht="12.75" x14ac:dyDescent="0.2">
      <c r="A506" s="461"/>
      <c r="B506" s="790"/>
      <c r="C506" s="791"/>
      <c r="D506" s="791"/>
      <c r="E506" s="791"/>
      <c r="F506" s="791"/>
      <c r="G506" s="791"/>
      <c r="H506" s="791"/>
      <c r="I506" s="791"/>
      <c r="J506" s="791"/>
      <c r="K506" s="791"/>
      <c r="L506" s="791"/>
      <c r="M506" s="792"/>
      <c r="N506" s="376"/>
      <c r="O506" s="377"/>
      <c r="P506" s="364">
        <f>SUM(N506*O506)</f>
        <v>0</v>
      </c>
      <c r="Q506" s="120"/>
      <c r="R506" s="120"/>
      <c r="S506" s="120"/>
      <c r="T506" s="148"/>
      <c r="U506" s="148"/>
      <c r="V506" s="148"/>
      <c r="W506" s="148"/>
      <c r="X506" s="148"/>
      <c r="Y506" s="148"/>
      <c r="Z506" s="148"/>
      <c r="AA506" s="148"/>
      <c r="AB506" s="148"/>
      <c r="AC506" s="148"/>
      <c r="AD506" s="148"/>
      <c r="AE506" s="148"/>
      <c r="AF506" s="148"/>
      <c r="AG506" s="148"/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</row>
    <row r="507" spans="1:52" ht="12.75" x14ac:dyDescent="0.2">
      <c r="A507" s="461"/>
      <c r="B507" s="800"/>
      <c r="C507" s="791"/>
      <c r="D507" s="791"/>
      <c r="E507" s="791"/>
      <c r="F507" s="791"/>
      <c r="G507" s="791"/>
      <c r="H507" s="791"/>
      <c r="I507" s="791"/>
      <c r="J507" s="791"/>
      <c r="K507" s="791"/>
      <c r="L507" s="791"/>
      <c r="M507" s="792"/>
      <c r="N507" s="374"/>
      <c r="O507" s="375"/>
      <c r="P507" s="255">
        <f>SUM(N507*O507)</f>
        <v>0</v>
      </c>
      <c r="Q507" s="120"/>
      <c r="R507" s="120"/>
      <c r="S507" s="120"/>
      <c r="T507" s="148"/>
      <c r="U507" s="148"/>
      <c r="V507" s="148"/>
      <c r="W507" s="148"/>
      <c r="X507" s="148"/>
      <c r="Y507" s="148"/>
      <c r="Z507" s="148"/>
      <c r="AA507" s="148"/>
      <c r="AB507" s="148"/>
      <c r="AC507" s="148"/>
      <c r="AD507" s="148"/>
      <c r="AE507" s="148"/>
      <c r="AF507" s="148"/>
      <c r="AG507" s="148"/>
      <c r="AH507" s="148"/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</row>
    <row r="508" spans="1:52" ht="12.75" x14ac:dyDescent="0.2">
      <c r="A508" s="461"/>
      <c r="B508" s="790"/>
      <c r="C508" s="791"/>
      <c r="D508" s="791"/>
      <c r="E508" s="791"/>
      <c r="F508" s="791"/>
      <c r="G508" s="791"/>
      <c r="H508" s="791"/>
      <c r="I508" s="791"/>
      <c r="J508" s="791"/>
      <c r="K508" s="791"/>
      <c r="L508" s="791"/>
      <c r="M508" s="792"/>
      <c r="N508" s="376"/>
      <c r="O508" s="377"/>
      <c r="P508" s="255">
        <f t="shared" ref="P508:P535" si="29">SUM(N508*O508)</f>
        <v>0</v>
      </c>
      <c r="Q508" s="120"/>
      <c r="R508" s="120"/>
      <c r="S508" s="120"/>
      <c r="T508" s="148"/>
      <c r="U508" s="148"/>
      <c r="V508" s="148"/>
      <c r="W508" s="148"/>
      <c r="X508" s="148"/>
      <c r="Y508" s="148"/>
      <c r="Z508" s="148"/>
      <c r="AA508" s="148"/>
      <c r="AB508" s="148"/>
      <c r="AC508" s="148"/>
      <c r="AD508" s="148"/>
      <c r="AE508" s="148"/>
      <c r="AF508" s="148"/>
      <c r="AG508" s="148"/>
      <c r="AH508" s="148"/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</row>
    <row r="509" spans="1:52" ht="12.75" x14ac:dyDescent="0.2">
      <c r="A509" s="461"/>
      <c r="B509" s="790"/>
      <c r="C509" s="791"/>
      <c r="D509" s="791"/>
      <c r="E509" s="791"/>
      <c r="F509" s="791"/>
      <c r="G509" s="791"/>
      <c r="H509" s="791"/>
      <c r="I509" s="791"/>
      <c r="J509" s="791"/>
      <c r="K509" s="791"/>
      <c r="L509" s="791"/>
      <c r="M509" s="792"/>
      <c r="N509" s="374"/>
      <c r="O509" s="375"/>
      <c r="P509" s="364">
        <f t="shared" si="29"/>
        <v>0</v>
      </c>
      <c r="Q509" s="120"/>
      <c r="R509" s="120"/>
      <c r="S509" s="120"/>
      <c r="T509" s="148"/>
      <c r="U509" s="148"/>
      <c r="V509" s="148"/>
      <c r="W509" s="14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/>
      <c r="AH509" s="148"/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</row>
    <row r="510" spans="1:52" ht="12.75" x14ac:dyDescent="0.2">
      <c r="A510" s="461"/>
      <c r="B510" s="790"/>
      <c r="C510" s="791"/>
      <c r="D510" s="791"/>
      <c r="E510" s="791"/>
      <c r="F510" s="791"/>
      <c r="G510" s="791"/>
      <c r="H510" s="791"/>
      <c r="I510" s="791"/>
      <c r="J510" s="791"/>
      <c r="K510" s="791"/>
      <c r="L510" s="791"/>
      <c r="M510" s="792"/>
      <c r="N510" s="376"/>
      <c r="O510" s="377"/>
      <c r="P510" s="255">
        <f t="shared" si="29"/>
        <v>0</v>
      </c>
      <c r="Q510" s="120"/>
      <c r="R510" s="120"/>
      <c r="S510" s="120"/>
      <c r="T510" s="148"/>
      <c r="U510" s="148"/>
      <c r="V510" s="148"/>
      <c r="W510" s="14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</row>
    <row r="511" spans="1:52" ht="12.75" x14ac:dyDescent="0.2">
      <c r="A511" s="461"/>
      <c r="B511" s="790"/>
      <c r="C511" s="791"/>
      <c r="D511" s="791"/>
      <c r="E511" s="791"/>
      <c r="F511" s="791"/>
      <c r="G511" s="791"/>
      <c r="H511" s="791"/>
      <c r="I511" s="791"/>
      <c r="J511" s="791"/>
      <c r="K511" s="791"/>
      <c r="L511" s="791"/>
      <c r="M511" s="792"/>
      <c r="N511" s="374"/>
      <c r="O511" s="375"/>
      <c r="P511" s="255">
        <f t="shared" si="29"/>
        <v>0</v>
      </c>
      <c r="Q511" s="120"/>
      <c r="R511" s="120"/>
      <c r="S511" s="120"/>
      <c r="T511" s="148"/>
      <c r="U511" s="148"/>
      <c r="V511" s="148"/>
      <c r="W511" s="14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</row>
    <row r="512" spans="1:52" ht="12.75" x14ac:dyDescent="0.2">
      <c r="A512" s="461"/>
      <c r="B512" s="790"/>
      <c r="C512" s="791"/>
      <c r="D512" s="791"/>
      <c r="E512" s="791"/>
      <c r="F512" s="791"/>
      <c r="G512" s="791"/>
      <c r="H512" s="791"/>
      <c r="I512" s="791"/>
      <c r="J512" s="791"/>
      <c r="K512" s="791"/>
      <c r="L512" s="791"/>
      <c r="M512" s="792"/>
      <c r="N512" s="376"/>
      <c r="O512" s="377"/>
      <c r="P512" s="364">
        <f t="shared" si="29"/>
        <v>0</v>
      </c>
      <c r="Q512" s="120"/>
      <c r="R512" s="120"/>
      <c r="S512" s="120"/>
      <c r="T512" s="148"/>
      <c r="U512" s="148"/>
      <c r="V512" s="148"/>
      <c r="W512" s="14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/>
      <c r="AH512" s="148"/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</row>
    <row r="513" spans="1:52" ht="12.75" x14ac:dyDescent="0.2">
      <c r="A513" s="461"/>
      <c r="B513" s="790"/>
      <c r="C513" s="791"/>
      <c r="D513" s="791"/>
      <c r="E513" s="791"/>
      <c r="F513" s="791"/>
      <c r="G513" s="791"/>
      <c r="H513" s="791"/>
      <c r="I513" s="791"/>
      <c r="J513" s="791"/>
      <c r="K513" s="791"/>
      <c r="L513" s="791"/>
      <c r="M513" s="792"/>
      <c r="N513" s="374"/>
      <c r="O513" s="375"/>
      <c r="P513" s="255">
        <f t="shared" si="29"/>
        <v>0</v>
      </c>
      <c r="Q513" s="120"/>
      <c r="R513" s="120"/>
      <c r="S513" s="120"/>
      <c r="T513" s="148"/>
      <c r="U513" s="148"/>
      <c r="V513" s="148"/>
      <c r="W513" s="14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</row>
    <row r="514" spans="1:52" ht="12.75" x14ac:dyDescent="0.2">
      <c r="A514" s="461"/>
      <c r="B514" s="790"/>
      <c r="C514" s="791"/>
      <c r="D514" s="791"/>
      <c r="E514" s="791"/>
      <c r="F514" s="791"/>
      <c r="G514" s="791"/>
      <c r="H514" s="791"/>
      <c r="I514" s="791"/>
      <c r="J514" s="791"/>
      <c r="K514" s="791"/>
      <c r="L514" s="791"/>
      <c r="M514" s="792"/>
      <c r="N514" s="376"/>
      <c r="O514" s="377"/>
      <c r="P514" s="255">
        <f t="shared" si="29"/>
        <v>0</v>
      </c>
      <c r="Q514" s="120"/>
      <c r="R514" s="120"/>
      <c r="S514" s="120"/>
      <c r="T514" s="148"/>
      <c r="U514" s="148"/>
      <c r="V514" s="148"/>
      <c r="W514" s="14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/>
      <c r="AH514" s="148"/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</row>
    <row r="515" spans="1:52" ht="12.75" x14ac:dyDescent="0.2">
      <c r="A515" s="461"/>
      <c r="B515" s="790"/>
      <c r="C515" s="791"/>
      <c r="D515" s="791"/>
      <c r="E515" s="791"/>
      <c r="F515" s="791"/>
      <c r="G515" s="791"/>
      <c r="H515" s="791"/>
      <c r="I515" s="791"/>
      <c r="J515" s="791"/>
      <c r="K515" s="791"/>
      <c r="L515" s="791"/>
      <c r="M515" s="792"/>
      <c r="N515" s="374"/>
      <c r="O515" s="375"/>
      <c r="P515" s="364">
        <f t="shared" si="29"/>
        <v>0</v>
      </c>
      <c r="Q515" s="120"/>
      <c r="R515" s="120"/>
      <c r="S515" s="120"/>
      <c r="T515" s="148"/>
      <c r="U515" s="148"/>
      <c r="V515" s="148"/>
      <c r="W515" s="14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/>
      <c r="AH515" s="148"/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</row>
    <row r="516" spans="1:52" ht="12.75" x14ac:dyDescent="0.2">
      <c r="A516" s="461"/>
      <c r="B516" s="790"/>
      <c r="C516" s="791"/>
      <c r="D516" s="791"/>
      <c r="E516" s="791"/>
      <c r="F516" s="791"/>
      <c r="G516" s="791"/>
      <c r="H516" s="791"/>
      <c r="I516" s="791"/>
      <c r="J516" s="791"/>
      <c r="K516" s="791"/>
      <c r="L516" s="791"/>
      <c r="M516" s="792"/>
      <c r="N516" s="376"/>
      <c r="O516" s="377"/>
      <c r="P516" s="255">
        <f t="shared" si="29"/>
        <v>0</v>
      </c>
      <c r="Q516" s="120"/>
      <c r="R516" s="120"/>
      <c r="S516" s="120"/>
      <c r="T516" s="148"/>
      <c r="U516" s="148"/>
      <c r="V516" s="148"/>
      <c r="W516" s="14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/>
      <c r="AH516" s="148"/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</row>
    <row r="517" spans="1:52" ht="12.75" x14ac:dyDescent="0.2">
      <c r="A517" s="461"/>
      <c r="B517" s="790"/>
      <c r="C517" s="791"/>
      <c r="D517" s="791"/>
      <c r="E517" s="791"/>
      <c r="F517" s="791"/>
      <c r="G517" s="791"/>
      <c r="H517" s="791"/>
      <c r="I517" s="791"/>
      <c r="J517" s="791"/>
      <c r="K517" s="791"/>
      <c r="L517" s="791"/>
      <c r="M517" s="792"/>
      <c r="N517" s="374"/>
      <c r="O517" s="375"/>
      <c r="P517" s="255">
        <f t="shared" si="29"/>
        <v>0</v>
      </c>
      <c r="Q517" s="120"/>
      <c r="R517" s="120"/>
      <c r="S517" s="120"/>
      <c r="T517" s="148"/>
      <c r="U517" s="148"/>
      <c r="V517" s="148"/>
      <c r="W517" s="14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</row>
    <row r="518" spans="1:52" ht="12.75" x14ac:dyDescent="0.2">
      <c r="A518" s="461"/>
      <c r="B518" s="790"/>
      <c r="C518" s="791"/>
      <c r="D518" s="791"/>
      <c r="E518" s="791"/>
      <c r="F518" s="791"/>
      <c r="G518" s="791"/>
      <c r="H518" s="791"/>
      <c r="I518" s="791"/>
      <c r="J518" s="791"/>
      <c r="K518" s="791"/>
      <c r="L518" s="791"/>
      <c r="M518" s="792"/>
      <c r="N518" s="376"/>
      <c r="O518" s="377"/>
      <c r="P518" s="364">
        <f t="shared" si="29"/>
        <v>0</v>
      </c>
      <c r="Q518" s="120"/>
      <c r="R518" s="120"/>
      <c r="S518" s="120"/>
      <c r="T518" s="148"/>
      <c r="U518" s="148"/>
      <c r="V518" s="148"/>
      <c r="W518" s="14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</row>
    <row r="519" spans="1:52" ht="12.75" x14ac:dyDescent="0.2">
      <c r="A519" s="461"/>
      <c r="B519" s="790"/>
      <c r="C519" s="791"/>
      <c r="D519" s="791"/>
      <c r="E519" s="791"/>
      <c r="F519" s="791"/>
      <c r="G519" s="791"/>
      <c r="H519" s="791"/>
      <c r="I519" s="791"/>
      <c r="J519" s="791"/>
      <c r="K519" s="791"/>
      <c r="L519" s="791"/>
      <c r="M519" s="792"/>
      <c r="N519" s="374"/>
      <c r="O519" s="375"/>
      <c r="P519" s="255">
        <f t="shared" si="29"/>
        <v>0</v>
      </c>
      <c r="Q519" s="120"/>
      <c r="R519" s="120"/>
      <c r="S519" s="120"/>
      <c r="T519" s="148"/>
      <c r="U519" s="148"/>
      <c r="V519" s="148"/>
      <c r="W519" s="14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</row>
    <row r="520" spans="1:52" ht="12.75" x14ac:dyDescent="0.2">
      <c r="A520" s="461"/>
      <c r="B520" s="790"/>
      <c r="C520" s="791"/>
      <c r="D520" s="791"/>
      <c r="E520" s="791"/>
      <c r="F520" s="791"/>
      <c r="G520" s="791"/>
      <c r="H520" s="791"/>
      <c r="I520" s="791"/>
      <c r="J520" s="791"/>
      <c r="K520" s="791"/>
      <c r="L520" s="791"/>
      <c r="M520" s="792"/>
      <c r="N520" s="376"/>
      <c r="O520" s="377"/>
      <c r="P520" s="255">
        <f t="shared" si="29"/>
        <v>0</v>
      </c>
      <c r="Q520" s="120"/>
      <c r="R520" s="120"/>
      <c r="S520" s="120"/>
      <c r="T520" s="148"/>
      <c r="U520" s="148"/>
      <c r="V520" s="148"/>
      <c r="W520" s="148"/>
      <c r="X520" s="148"/>
      <c r="Y520" s="148"/>
      <c r="Z520" s="148"/>
      <c r="AA520" s="148"/>
      <c r="AB520" s="148"/>
      <c r="AC520" s="148"/>
      <c r="AD520" s="148"/>
      <c r="AE520" s="148"/>
      <c r="AF520" s="148"/>
      <c r="AG520" s="148"/>
      <c r="AH520" s="148"/>
      <c r="AI520" s="148"/>
      <c r="AJ520" s="148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</row>
    <row r="521" spans="1:52" ht="12.75" x14ac:dyDescent="0.2">
      <c r="A521" s="461"/>
      <c r="B521" s="790"/>
      <c r="C521" s="791"/>
      <c r="D521" s="791"/>
      <c r="E521" s="791"/>
      <c r="F521" s="791"/>
      <c r="G521" s="791"/>
      <c r="H521" s="791"/>
      <c r="I521" s="791"/>
      <c r="J521" s="791"/>
      <c r="K521" s="791"/>
      <c r="L521" s="791"/>
      <c r="M521" s="792"/>
      <c r="N521" s="374"/>
      <c r="O521" s="375"/>
      <c r="P521" s="364">
        <f t="shared" si="29"/>
        <v>0</v>
      </c>
      <c r="Q521" s="120"/>
      <c r="R521" s="120"/>
      <c r="S521" s="120"/>
      <c r="T521" s="148"/>
      <c r="U521" s="148"/>
      <c r="V521" s="148"/>
      <c r="W521" s="14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/>
      <c r="AH521" s="148"/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</row>
    <row r="522" spans="1:52" ht="12.75" x14ac:dyDescent="0.2">
      <c r="A522" s="461"/>
      <c r="B522" s="790"/>
      <c r="C522" s="791"/>
      <c r="D522" s="791"/>
      <c r="E522" s="791"/>
      <c r="F522" s="791"/>
      <c r="G522" s="791"/>
      <c r="H522" s="791"/>
      <c r="I522" s="791"/>
      <c r="J522" s="791"/>
      <c r="K522" s="791"/>
      <c r="L522" s="791"/>
      <c r="M522" s="792"/>
      <c r="N522" s="376"/>
      <c r="O522" s="377"/>
      <c r="P522" s="255">
        <f t="shared" si="29"/>
        <v>0</v>
      </c>
      <c r="Q522" s="120"/>
      <c r="R522" s="120"/>
      <c r="S522" s="120"/>
      <c r="T522" s="148"/>
      <c r="U522" s="148"/>
      <c r="V522" s="148"/>
      <c r="W522" s="14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/>
      <c r="AH522" s="148"/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</row>
    <row r="523" spans="1:52" ht="12.75" x14ac:dyDescent="0.2">
      <c r="A523" s="461"/>
      <c r="B523" s="790"/>
      <c r="C523" s="791"/>
      <c r="D523" s="791"/>
      <c r="E523" s="791"/>
      <c r="F523" s="791"/>
      <c r="G523" s="791"/>
      <c r="H523" s="791"/>
      <c r="I523" s="791"/>
      <c r="J523" s="791"/>
      <c r="K523" s="791"/>
      <c r="L523" s="791"/>
      <c r="M523" s="792"/>
      <c r="N523" s="374"/>
      <c r="O523" s="375"/>
      <c r="P523" s="255">
        <f t="shared" si="29"/>
        <v>0</v>
      </c>
      <c r="Q523" s="120"/>
      <c r="R523" s="120"/>
      <c r="S523" s="120"/>
      <c r="T523" s="148"/>
      <c r="U523" s="148"/>
      <c r="V523" s="148"/>
      <c r="W523" s="148"/>
      <c r="X523" s="148"/>
      <c r="Y523" s="148"/>
      <c r="Z523" s="148"/>
      <c r="AA523" s="148"/>
      <c r="AB523" s="148"/>
      <c r="AC523" s="148"/>
      <c r="AD523" s="148"/>
      <c r="AE523" s="148"/>
      <c r="AF523" s="148"/>
      <c r="AG523" s="148"/>
      <c r="AH523" s="148"/>
      <c r="AI523" s="148"/>
      <c r="AJ523" s="148"/>
      <c r="AK523" s="148"/>
      <c r="AL523" s="148"/>
      <c r="AM523" s="148"/>
      <c r="AN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</row>
    <row r="524" spans="1:52" ht="12.75" x14ac:dyDescent="0.2">
      <c r="A524" s="461"/>
      <c r="B524" s="790"/>
      <c r="C524" s="791"/>
      <c r="D524" s="791"/>
      <c r="E524" s="791"/>
      <c r="F524" s="791"/>
      <c r="G524" s="791"/>
      <c r="H524" s="791"/>
      <c r="I524" s="791"/>
      <c r="J524" s="791"/>
      <c r="K524" s="791"/>
      <c r="L524" s="791"/>
      <c r="M524" s="792"/>
      <c r="N524" s="376"/>
      <c r="O524" s="377"/>
      <c r="P524" s="364">
        <f t="shared" si="29"/>
        <v>0</v>
      </c>
      <c r="Q524" s="120"/>
      <c r="R524" s="120"/>
      <c r="S524" s="120"/>
      <c r="T524" s="148"/>
      <c r="U524" s="148"/>
      <c r="V524" s="148"/>
      <c r="W524" s="14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/>
      <c r="AH524" s="148"/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</row>
    <row r="525" spans="1:52" ht="12.75" x14ac:dyDescent="0.2">
      <c r="A525" s="461"/>
      <c r="B525" s="790"/>
      <c r="C525" s="791"/>
      <c r="D525" s="791"/>
      <c r="E525" s="791"/>
      <c r="F525" s="791"/>
      <c r="G525" s="791"/>
      <c r="H525" s="791"/>
      <c r="I525" s="791"/>
      <c r="J525" s="791"/>
      <c r="K525" s="791"/>
      <c r="L525" s="791"/>
      <c r="M525" s="792"/>
      <c r="N525" s="374"/>
      <c r="O525" s="375"/>
      <c r="P525" s="255">
        <f t="shared" si="29"/>
        <v>0</v>
      </c>
      <c r="Q525" s="120"/>
      <c r="R525" s="120"/>
      <c r="S525" s="120"/>
      <c r="T525" s="148"/>
      <c r="U525" s="148"/>
      <c r="V525" s="148"/>
      <c r="W525" s="14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/>
      <c r="AH525" s="148"/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</row>
    <row r="526" spans="1:52" ht="12.75" x14ac:dyDescent="0.2">
      <c r="A526" s="461"/>
      <c r="B526" s="790"/>
      <c r="C526" s="791"/>
      <c r="D526" s="791"/>
      <c r="E526" s="791"/>
      <c r="F526" s="791"/>
      <c r="G526" s="791"/>
      <c r="H526" s="791"/>
      <c r="I526" s="791"/>
      <c r="J526" s="791"/>
      <c r="K526" s="791"/>
      <c r="L526" s="791"/>
      <c r="M526" s="792"/>
      <c r="N526" s="376"/>
      <c r="O526" s="377"/>
      <c r="P526" s="255">
        <f t="shared" si="29"/>
        <v>0</v>
      </c>
      <c r="Q526" s="120"/>
      <c r="R526" s="120"/>
      <c r="S526" s="120"/>
      <c r="T526" s="148"/>
      <c r="U526" s="148"/>
      <c r="V526" s="148"/>
      <c r="W526" s="148"/>
      <c r="X526" s="148"/>
      <c r="Y526" s="148"/>
      <c r="Z526" s="148"/>
      <c r="AA526" s="148"/>
      <c r="AB526" s="148"/>
      <c r="AC526" s="148"/>
      <c r="AD526" s="148"/>
      <c r="AE526" s="148"/>
      <c r="AF526" s="148"/>
      <c r="AG526" s="148"/>
      <c r="AH526" s="148"/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</row>
    <row r="527" spans="1:52" ht="12.75" x14ac:dyDescent="0.2">
      <c r="A527" s="461"/>
      <c r="B527" s="790"/>
      <c r="C527" s="791"/>
      <c r="D527" s="791"/>
      <c r="E527" s="791"/>
      <c r="F527" s="791"/>
      <c r="G527" s="791"/>
      <c r="H527" s="791"/>
      <c r="I527" s="791"/>
      <c r="J527" s="791"/>
      <c r="K527" s="791"/>
      <c r="L527" s="791"/>
      <c r="M527" s="792"/>
      <c r="N527" s="374"/>
      <c r="O527" s="375"/>
      <c r="P527" s="364">
        <f t="shared" si="29"/>
        <v>0</v>
      </c>
      <c r="Q527" s="120"/>
      <c r="R527" s="120"/>
      <c r="S527" s="120"/>
      <c r="T527" s="148"/>
      <c r="U527" s="148"/>
      <c r="V527" s="148"/>
      <c r="W527" s="148"/>
      <c r="X527" s="148"/>
      <c r="Y527" s="148"/>
      <c r="Z527" s="148"/>
      <c r="AA527" s="148"/>
      <c r="AB527" s="148"/>
      <c r="AC527" s="148"/>
      <c r="AD527" s="148"/>
      <c r="AE527" s="148"/>
      <c r="AF527" s="148"/>
      <c r="AG527" s="148"/>
      <c r="AH527" s="148"/>
      <c r="AI527" s="148"/>
      <c r="AJ527" s="148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</row>
    <row r="528" spans="1:52" ht="12.75" x14ac:dyDescent="0.2">
      <c r="A528" s="461"/>
      <c r="B528" s="790"/>
      <c r="C528" s="791"/>
      <c r="D528" s="791"/>
      <c r="E528" s="791"/>
      <c r="F528" s="791"/>
      <c r="G528" s="791"/>
      <c r="H528" s="791"/>
      <c r="I528" s="791"/>
      <c r="J528" s="791"/>
      <c r="K528" s="791"/>
      <c r="L528" s="791"/>
      <c r="M528" s="792"/>
      <c r="N528" s="376"/>
      <c r="O528" s="377"/>
      <c r="P528" s="255">
        <f t="shared" si="29"/>
        <v>0</v>
      </c>
      <c r="Q528" s="120"/>
      <c r="R528" s="120"/>
      <c r="S528" s="120"/>
      <c r="T528" s="148"/>
      <c r="U528" s="148"/>
      <c r="V528" s="148"/>
      <c r="W528" s="14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/>
      <c r="AH528" s="148"/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</row>
    <row r="529" spans="1:52" ht="12.75" x14ac:dyDescent="0.2">
      <c r="A529" s="461"/>
      <c r="B529" s="790"/>
      <c r="C529" s="791"/>
      <c r="D529" s="791"/>
      <c r="E529" s="791"/>
      <c r="F529" s="791"/>
      <c r="G529" s="791"/>
      <c r="H529" s="791"/>
      <c r="I529" s="791"/>
      <c r="J529" s="791"/>
      <c r="K529" s="791"/>
      <c r="L529" s="791"/>
      <c r="M529" s="792"/>
      <c r="N529" s="374"/>
      <c r="O529" s="375"/>
      <c r="P529" s="255">
        <f t="shared" si="29"/>
        <v>0</v>
      </c>
      <c r="Q529" s="120"/>
      <c r="R529" s="120"/>
      <c r="S529" s="120"/>
      <c r="T529" s="148"/>
      <c r="U529" s="148"/>
      <c r="V529" s="148"/>
      <c r="W529" s="14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</row>
    <row r="530" spans="1:52" ht="12.75" x14ac:dyDescent="0.2">
      <c r="A530" s="461"/>
      <c r="B530" s="790"/>
      <c r="C530" s="791"/>
      <c r="D530" s="791"/>
      <c r="E530" s="791"/>
      <c r="F530" s="791"/>
      <c r="G530" s="791"/>
      <c r="H530" s="791"/>
      <c r="I530" s="791"/>
      <c r="J530" s="791"/>
      <c r="K530" s="791"/>
      <c r="L530" s="791"/>
      <c r="M530" s="792"/>
      <c r="N530" s="376"/>
      <c r="O530" s="377"/>
      <c r="P530" s="364">
        <f t="shared" si="29"/>
        <v>0</v>
      </c>
      <c r="Q530" s="120"/>
      <c r="R530" s="120"/>
      <c r="S530" s="120"/>
      <c r="T530" s="148"/>
      <c r="U530" s="148"/>
      <c r="V530" s="148"/>
      <c r="W530" s="14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</row>
    <row r="531" spans="1:52" ht="12.75" x14ac:dyDescent="0.2">
      <c r="A531" s="461"/>
      <c r="B531" s="790"/>
      <c r="C531" s="791"/>
      <c r="D531" s="791"/>
      <c r="E531" s="791"/>
      <c r="F531" s="791"/>
      <c r="G531" s="791"/>
      <c r="H531" s="791"/>
      <c r="I531" s="791"/>
      <c r="J531" s="791"/>
      <c r="K531" s="791"/>
      <c r="L531" s="791"/>
      <c r="M531" s="792"/>
      <c r="N531" s="374"/>
      <c r="O531" s="375"/>
      <c r="P531" s="255">
        <f t="shared" si="29"/>
        <v>0</v>
      </c>
      <c r="Q531" s="120"/>
      <c r="R531" s="120"/>
      <c r="S531" s="120"/>
      <c r="T531" s="148"/>
      <c r="U531" s="148"/>
      <c r="V531" s="148"/>
      <c r="W531" s="14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</row>
    <row r="532" spans="1:52" ht="12.75" x14ac:dyDescent="0.2">
      <c r="A532" s="461"/>
      <c r="B532" s="790"/>
      <c r="C532" s="791"/>
      <c r="D532" s="791"/>
      <c r="E532" s="791"/>
      <c r="F532" s="791"/>
      <c r="G532" s="791"/>
      <c r="H532" s="791"/>
      <c r="I532" s="791"/>
      <c r="J532" s="791"/>
      <c r="K532" s="791"/>
      <c r="L532" s="791"/>
      <c r="M532" s="792"/>
      <c r="N532" s="376"/>
      <c r="O532" s="377"/>
      <c r="P532" s="255">
        <f t="shared" si="29"/>
        <v>0</v>
      </c>
      <c r="Q532" s="120"/>
      <c r="R532" s="120"/>
      <c r="S532" s="120"/>
      <c r="T532" s="148"/>
      <c r="U532" s="148"/>
      <c r="V532" s="148"/>
      <c r="W532" s="14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</row>
    <row r="533" spans="1:52" ht="12.75" x14ac:dyDescent="0.2">
      <c r="A533" s="461"/>
      <c r="B533" s="790"/>
      <c r="C533" s="791"/>
      <c r="D533" s="791"/>
      <c r="E533" s="791"/>
      <c r="F533" s="791"/>
      <c r="G533" s="791"/>
      <c r="H533" s="791"/>
      <c r="I533" s="791"/>
      <c r="J533" s="791"/>
      <c r="K533" s="791"/>
      <c r="L533" s="791"/>
      <c r="M533" s="792"/>
      <c r="N533" s="374"/>
      <c r="O533" s="375"/>
      <c r="P533" s="364">
        <f t="shared" si="29"/>
        <v>0</v>
      </c>
      <c r="Q533" s="120"/>
      <c r="R533" s="120"/>
      <c r="S533" s="120"/>
      <c r="T533" s="148"/>
      <c r="U533" s="148"/>
      <c r="V533" s="148"/>
      <c r="W533" s="14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</row>
    <row r="534" spans="1:52" ht="12.75" x14ac:dyDescent="0.2">
      <c r="A534" s="461"/>
      <c r="B534" s="790"/>
      <c r="C534" s="791"/>
      <c r="D534" s="791"/>
      <c r="E534" s="791"/>
      <c r="F534" s="791"/>
      <c r="G534" s="791"/>
      <c r="H534" s="791"/>
      <c r="I534" s="791"/>
      <c r="J534" s="791"/>
      <c r="K534" s="791"/>
      <c r="L534" s="791"/>
      <c r="M534" s="792"/>
      <c r="N534" s="376"/>
      <c r="O534" s="377"/>
      <c r="P534" s="255">
        <f t="shared" si="29"/>
        <v>0</v>
      </c>
      <c r="Q534" s="120"/>
      <c r="R534" s="120"/>
      <c r="S534" s="120"/>
      <c r="T534" s="148"/>
      <c r="U534" s="148"/>
      <c r="V534" s="148"/>
      <c r="W534" s="14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</row>
    <row r="535" spans="1:52" ht="12.75" x14ac:dyDescent="0.2">
      <c r="A535" s="461"/>
      <c r="B535" s="790"/>
      <c r="C535" s="791"/>
      <c r="D535" s="791"/>
      <c r="E535" s="791"/>
      <c r="F535" s="791"/>
      <c r="G535" s="791"/>
      <c r="H535" s="791"/>
      <c r="I535" s="791"/>
      <c r="J535" s="791"/>
      <c r="K535" s="791"/>
      <c r="L535" s="791"/>
      <c r="M535" s="792"/>
      <c r="N535" s="374"/>
      <c r="O535" s="375"/>
      <c r="P535" s="255">
        <f t="shared" si="29"/>
        <v>0</v>
      </c>
      <c r="Q535" s="120"/>
      <c r="R535" s="120"/>
      <c r="S535" s="120"/>
      <c r="T535" s="148"/>
      <c r="U535" s="148"/>
      <c r="V535" s="148"/>
      <c r="W535" s="14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</row>
    <row r="536" spans="1:52" ht="12.75" x14ac:dyDescent="0.2">
      <c r="A536" s="461"/>
      <c r="B536" s="790"/>
      <c r="C536" s="791"/>
      <c r="D536" s="791"/>
      <c r="E536" s="791"/>
      <c r="F536" s="791"/>
      <c r="G536" s="791"/>
      <c r="H536" s="791"/>
      <c r="I536" s="791"/>
      <c r="J536" s="791"/>
      <c r="K536" s="791"/>
      <c r="L536" s="791"/>
      <c r="M536" s="792"/>
      <c r="N536" s="378"/>
      <c r="O536" s="379"/>
      <c r="P536" s="255">
        <f>SUM(N536*O536)</f>
        <v>0</v>
      </c>
      <c r="Q536" s="120"/>
      <c r="R536" s="120"/>
      <c r="S536" s="120"/>
      <c r="T536" s="148"/>
      <c r="U536" s="148"/>
      <c r="V536" s="148"/>
      <c r="W536" s="14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</row>
    <row r="537" spans="1:52" ht="12.75" x14ac:dyDescent="0.2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337"/>
      <c r="Q537" s="120"/>
      <c r="R537" s="120"/>
      <c r="S537" s="120"/>
      <c r="T537" s="148"/>
      <c r="U537" s="148"/>
      <c r="V537" s="148"/>
      <c r="W537" s="14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</row>
    <row r="538" spans="1:52" ht="13.5" thickBot="1" x14ac:dyDescent="0.25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74" t="s">
        <v>0</v>
      </c>
      <c r="P538" s="754">
        <f>SUM(P505:P536)</f>
        <v>0</v>
      </c>
      <c r="Q538" s="120"/>
      <c r="R538" s="120"/>
      <c r="S538" s="120"/>
      <c r="T538" s="148"/>
      <c r="U538" s="148"/>
      <c r="V538" s="148"/>
      <c r="W538" s="14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</row>
    <row r="539" spans="1:52" ht="12.75" x14ac:dyDescent="0.2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48"/>
      <c r="U539" s="148"/>
      <c r="V539" s="148"/>
      <c r="W539" s="14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</row>
    <row r="540" spans="1:52" ht="26.25" customHeight="1" thickBot="1" x14ac:dyDescent="0.25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74" t="s">
        <v>220</v>
      </c>
      <c r="Q540" s="174" t="s">
        <v>0</v>
      </c>
      <c r="R540" s="737">
        <f>SUM(P538)</f>
        <v>0</v>
      </c>
      <c r="S540" s="120"/>
      <c r="T540" s="148"/>
      <c r="U540" s="148"/>
      <c r="V540" s="148"/>
      <c r="W540" s="14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</row>
    <row r="541" spans="1:52" ht="20.25" customHeight="1" x14ac:dyDescent="0.25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251"/>
      <c r="Q541" s="458"/>
      <c r="R541" s="185"/>
      <c r="S541" s="120"/>
      <c r="T541" s="148"/>
      <c r="U541" s="148"/>
      <c r="V541" s="148"/>
      <c r="W541" s="14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</row>
    <row r="542" spans="1:52" ht="18.75" hidden="1" customHeight="1" thickBot="1" x14ac:dyDescent="0.25">
      <c r="A542" s="148"/>
      <c r="B542" s="148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</row>
    <row r="543" spans="1:52" ht="2.4500000000000002" customHeight="1" x14ac:dyDescent="0.45">
      <c r="A543" s="7"/>
      <c r="B543" s="17"/>
      <c r="C543" s="17"/>
      <c r="D543" s="17"/>
      <c r="E543" s="25"/>
      <c r="F543" s="25"/>
      <c r="G543" s="8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148"/>
      <c r="U543" s="148"/>
      <c r="V543" s="148"/>
      <c r="W543" s="14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</row>
    <row r="544" spans="1:52" ht="23.25" customHeight="1" x14ac:dyDescent="0.25">
      <c r="A544" s="7"/>
      <c r="B544" s="44" t="s">
        <v>516</v>
      </c>
      <c r="C544" s="7"/>
      <c r="D544" s="7"/>
      <c r="E544" s="7"/>
      <c r="F544" s="7"/>
      <c r="G544" s="45"/>
      <c r="H544" s="7"/>
      <c r="I544" s="7"/>
      <c r="J544" s="7"/>
      <c r="K544" s="7"/>
      <c r="L544" s="7"/>
      <c r="M544" s="7"/>
      <c r="N544" s="107"/>
      <c r="O544" s="7"/>
      <c r="P544" s="7"/>
      <c r="Q544" s="7"/>
      <c r="R544" s="7"/>
      <c r="S544" s="7"/>
      <c r="T544" s="148"/>
      <c r="U544" s="148"/>
      <c r="V544" s="148"/>
      <c r="W544" s="14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</row>
    <row r="545" spans="1:52" ht="15.75" x14ac:dyDescent="0.25">
      <c r="A545" s="7"/>
      <c r="B545" s="44" t="s">
        <v>64</v>
      </c>
      <c r="C545" s="7"/>
      <c r="D545" s="7"/>
      <c r="E545" s="7"/>
      <c r="F545" s="7"/>
      <c r="G545" s="7"/>
      <c r="H545" s="7"/>
      <c r="I545" s="91"/>
      <c r="J545" s="7"/>
      <c r="K545" s="7"/>
      <c r="L545" s="7"/>
      <c r="M545" s="366" t="s">
        <v>234</v>
      </c>
      <c r="N545" s="7"/>
      <c r="O545" s="7"/>
      <c r="P545" s="7"/>
      <c r="Q545" s="7"/>
      <c r="R545" s="7"/>
      <c r="S545" s="7"/>
      <c r="T545" s="148"/>
      <c r="U545" s="148"/>
      <c r="V545" s="148"/>
      <c r="W545" s="14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</row>
    <row r="546" spans="1:52" ht="15.75" x14ac:dyDescent="0.25">
      <c r="A546" s="7"/>
      <c r="B546" s="44" t="s">
        <v>266</v>
      </c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148"/>
      <c r="U546" s="148"/>
      <c r="V546" s="148"/>
      <c r="W546" s="14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</row>
    <row r="547" spans="1:52" ht="12.75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148"/>
      <c r="U547" s="148"/>
      <c r="V547" s="148"/>
      <c r="W547" s="14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</row>
    <row r="548" spans="1:52" ht="12.75" x14ac:dyDescent="0.2">
      <c r="A548" s="7"/>
      <c r="B548" s="7" t="s">
        <v>43</v>
      </c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148"/>
      <c r="U548" s="148"/>
      <c r="V548" s="148"/>
      <c r="W548" s="14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</row>
    <row r="549" spans="1:52" ht="12.75" x14ac:dyDescent="0.2">
      <c r="A549" s="7"/>
      <c r="B549" s="7" t="s">
        <v>29</v>
      </c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148"/>
      <c r="U549" s="148"/>
      <c r="V549" s="148"/>
      <c r="W549" s="14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</row>
    <row r="550" spans="1:52" ht="12.75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148"/>
      <c r="U550" s="148"/>
      <c r="V550" s="148"/>
      <c r="W550" s="14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</row>
    <row r="551" spans="1:52" ht="12.75" x14ac:dyDescent="0.2">
      <c r="A551" s="7"/>
      <c r="B551" s="68" t="s">
        <v>151</v>
      </c>
      <c r="C551" s="68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148"/>
      <c r="U551" s="148"/>
      <c r="V551" s="148"/>
      <c r="W551" s="14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</row>
    <row r="552" spans="1:52" ht="12.75" x14ac:dyDescent="0.2">
      <c r="A552" s="7"/>
      <c r="B552" s="68"/>
      <c r="C552" s="68"/>
      <c r="D552" s="7"/>
      <c r="E552" s="7"/>
      <c r="F552" s="7"/>
      <c r="G552" s="7"/>
      <c r="H552" s="7"/>
      <c r="I552" s="25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148"/>
      <c r="U552" s="148"/>
      <c r="V552" s="148"/>
      <c r="W552" s="14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</row>
    <row r="553" spans="1:52" ht="12.75" x14ac:dyDescent="0.2">
      <c r="A553" s="7"/>
      <c r="B553" s="7" t="s">
        <v>72</v>
      </c>
      <c r="C553" s="7"/>
      <c r="D553" s="7"/>
      <c r="E553" s="7"/>
      <c r="F553" s="7"/>
      <c r="G553" s="7"/>
      <c r="H553" s="25" t="s">
        <v>31</v>
      </c>
      <c r="I553" s="7"/>
      <c r="J553" s="1"/>
      <c r="K553" s="7"/>
      <c r="L553" s="7"/>
      <c r="M553" s="7"/>
      <c r="N553" s="7"/>
      <c r="O553" s="7"/>
      <c r="P553" s="7"/>
      <c r="Q553" s="7"/>
      <c r="R553" s="7"/>
      <c r="S553" s="7"/>
      <c r="T553" s="148"/>
      <c r="U553" s="148"/>
      <c r="V553" s="148"/>
      <c r="W553" s="14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</row>
    <row r="554" spans="1:52" ht="12.75" x14ac:dyDescent="0.2">
      <c r="A554" s="50"/>
      <c r="B554" s="462" t="s">
        <v>40</v>
      </c>
      <c r="C554" s="47"/>
      <c r="D554" s="47"/>
      <c r="E554" s="47"/>
      <c r="F554" s="47"/>
      <c r="G554" s="797">
        <v>0.5</v>
      </c>
      <c r="H554" s="787"/>
      <c r="I554" s="426"/>
      <c r="J554" s="21"/>
      <c r="K554" s="7"/>
      <c r="L554" s="787">
        <v>0.5</v>
      </c>
      <c r="M554" s="788"/>
      <c r="N554" s="70" t="s">
        <v>0</v>
      </c>
      <c r="O554" s="787">
        <v>0.1</v>
      </c>
      <c r="P554" s="788"/>
      <c r="Q554" s="15" t="s">
        <v>0</v>
      </c>
      <c r="R554" s="25"/>
      <c r="S554" s="7"/>
      <c r="T554" s="148"/>
      <c r="U554" s="148"/>
      <c r="V554" s="148"/>
      <c r="W554" s="14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</row>
    <row r="555" spans="1:52" ht="12.75" x14ac:dyDescent="0.2">
      <c r="A555" s="50"/>
      <c r="B555" s="462" t="s">
        <v>229</v>
      </c>
      <c r="C555" s="47"/>
      <c r="D555" s="47"/>
      <c r="E555" s="47"/>
      <c r="F555" s="47"/>
      <c r="G555" s="797">
        <v>0.1</v>
      </c>
      <c r="H555" s="787"/>
      <c r="I555" s="427" t="s">
        <v>395</v>
      </c>
      <c r="J555" s="57" t="s">
        <v>222</v>
      </c>
      <c r="K555" s="15" t="s">
        <v>0</v>
      </c>
      <c r="L555" s="399" t="s">
        <v>395</v>
      </c>
      <c r="M555" s="15" t="s">
        <v>222</v>
      </c>
      <c r="N555" s="71"/>
      <c r="O555" s="1"/>
      <c r="P555" s="7"/>
      <c r="Q555" s="7"/>
      <c r="R555" s="7"/>
      <c r="S555" s="7"/>
      <c r="T555" s="148"/>
      <c r="U555" s="148"/>
      <c r="V555" s="148"/>
      <c r="W555" s="148"/>
      <c r="X555" s="148"/>
      <c r="Y555" s="148"/>
      <c r="Z555" s="148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</row>
    <row r="556" spans="1:52" ht="12.75" x14ac:dyDescent="0.2">
      <c r="A556" s="50"/>
      <c r="B556" s="47" t="s">
        <v>30</v>
      </c>
      <c r="C556" s="47"/>
      <c r="D556" s="47"/>
      <c r="E556" s="47"/>
      <c r="F556" s="11"/>
      <c r="G556" s="15"/>
      <c r="H556" s="28">
        <v>0.42</v>
      </c>
      <c r="I556" s="379"/>
      <c r="J556" s="379"/>
      <c r="K556" s="371">
        <f>SUM(J556*0.42*I556)</f>
        <v>0</v>
      </c>
      <c r="L556" s="379"/>
      <c r="M556" s="379"/>
      <c r="N556" s="371">
        <f>SUM(M556*0.42*L556*50%)</f>
        <v>0</v>
      </c>
      <c r="O556" s="102"/>
      <c r="P556" s="94"/>
      <c r="Q556" s="94"/>
      <c r="R556" s="94"/>
      <c r="S556" s="7"/>
      <c r="T556" s="148"/>
      <c r="U556" s="148"/>
      <c r="V556" s="148"/>
      <c r="W556" s="148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</row>
    <row r="557" spans="1:52" ht="12.75" x14ac:dyDescent="0.2">
      <c r="A557" s="50"/>
      <c r="B557" s="47" t="s">
        <v>70</v>
      </c>
      <c r="C557" s="47"/>
      <c r="D557" s="47"/>
      <c r="E557" s="47"/>
      <c r="F557" s="11"/>
      <c r="G557" s="15"/>
      <c r="H557" s="28">
        <v>0.68</v>
      </c>
      <c r="I557" s="375"/>
      <c r="J557" s="375"/>
      <c r="K557" s="108">
        <f>SUM(J557*0.68*I557)</f>
        <v>0</v>
      </c>
      <c r="L557" s="375"/>
      <c r="M557" s="375"/>
      <c r="N557" s="108">
        <f>SUM(M557*0.68*L557*50%)</f>
        <v>0</v>
      </c>
      <c r="O557" s="236"/>
      <c r="P557" s="109"/>
      <c r="Q557" s="94"/>
      <c r="R557" s="94"/>
      <c r="S557" s="7"/>
      <c r="T557" s="148"/>
      <c r="U557" s="148"/>
      <c r="V557" s="148"/>
      <c r="W557" s="14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</row>
    <row r="558" spans="1:52" ht="12.75" x14ac:dyDescent="0.2">
      <c r="A558" s="50"/>
      <c r="B558" s="47" t="s">
        <v>76</v>
      </c>
      <c r="C558" s="47"/>
      <c r="D558" s="47"/>
      <c r="E558" s="47"/>
      <c r="F558" s="11"/>
      <c r="G558" s="15"/>
      <c r="H558" s="28">
        <v>0.84</v>
      </c>
      <c r="I558" s="375"/>
      <c r="J558" s="375"/>
      <c r="K558" s="108">
        <f>SUM(J558*0.84*I558)</f>
        <v>0</v>
      </c>
      <c r="L558" s="375"/>
      <c r="M558" s="375"/>
      <c r="N558" s="417">
        <f>SUM(M558*0.84*L558*50%)</f>
        <v>0</v>
      </c>
      <c r="O558" s="417" t="s">
        <v>395</v>
      </c>
      <c r="P558" s="28" t="s">
        <v>222</v>
      </c>
      <c r="Q558" s="95"/>
      <c r="R558" s="109"/>
      <c r="S558" s="7"/>
      <c r="T558" s="148"/>
      <c r="U558" s="148"/>
      <c r="V558" s="148"/>
      <c r="W558" s="148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</row>
    <row r="559" spans="1:52" ht="12.75" x14ac:dyDescent="0.2">
      <c r="A559" s="50"/>
      <c r="B559" s="47" t="s">
        <v>68</v>
      </c>
      <c r="C559" s="47"/>
      <c r="D559" s="47"/>
      <c r="E559" s="47"/>
      <c r="F559" s="11"/>
      <c r="G559" s="15" t="s">
        <v>52</v>
      </c>
      <c r="H559" s="28">
        <v>0.82</v>
      </c>
      <c r="I559" s="375"/>
      <c r="J559" s="375"/>
      <c r="K559" s="108">
        <f>SUM(J559*0.82*I559)</f>
        <v>0</v>
      </c>
      <c r="L559" s="375"/>
      <c r="M559" s="375"/>
      <c r="N559" s="108">
        <f>SUM(M559*0.82*L559*50%)</f>
        <v>0</v>
      </c>
      <c r="O559" s="379"/>
      <c r="P559" s="379"/>
      <c r="Q559" s="371">
        <f>SUM(P559*0.82*O559*10%)</f>
        <v>0</v>
      </c>
      <c r="R559" s="102"/>
      <c r="S559" s="7"/>
      <c r="T559" s="148"/>
      <c r="U559" s="148"/>
      <c r="V559" s="148"/>
      <c r="W559" s="14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</row>
    <row r="560" spans="1:52" ht="12.75" x14ac:dyDescent="0.2">
      <c r="A560" s="50"/>
      <c r="B560" s="47" t="s">
        <v>69</v>
      </c>
      <c r="C560" s="47"/>
      <c r="D560" s="47"/>
      <c r="E560" s="47"/>
      <c r="F560" s="11"/>
      <c r="G560" s="15" t="s">
        <v>66</v>
      </c>
      <c r="H560" s="28">
        <v>1.1499999999999999</v>
      </c>
      <c r="I560" s="375"/>
      <c r="J560" s="375"/>
      <c r="K560" s="108">
        <f>SUM(J560*1.15*I560)</f>
        <v>0</v>
      </c>
      <c r="L560" s="375"/>
      <c r="M560" s="375"/>
      <c r="N560" s="108">
        <f>SUM(M560*1.15*L560*50%)</f>
        <v>0</v>
      </c>
      <c r="O560" s="375"/>
      <c r="P560" s="375"/>
      <c r="Q560" s="108">
        <f>SUM(P560*1.15*O560*10%)</f>
        <v>0</v>
      </c>
      <c r="R560" s="236"/>
      <c r="S560" s="7"/>
      <c r="T560" s="148"/>
      <c r="U560" s="148"/>
      <c r="V560" s="148"/>
      <c r="W560" s="14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</row>
    <row r="561" spans="1:52" ht="12.75" x14ac:dyDescent="0.2">
      <c r="A561" s="50"/>
      <c r="B561" s="47" t="s">
        <v>71</v>
      </c>
      <c r="C561" s="47"/>
      <c r="D561" s="47"/>
      <c r="E561" s="47"/>
      <c r="F561" s="11"/>
      <c r="G561" s="15" t="s">
        <v>52</v>
      </c>
      <c r="H561" s="28">
        <v>1.31</v>
      </c>
      <c r="I561" s="375"/>
      <c r="J561" s="375"/>
      <c r="K561" s="108">
        <f>SUM(J561*1.31*I561)</f>
        <v>0</v>
      </c>
      <c r="L561" s="375"/>
      <c r="M561" s="375"/>
      <c r="N561" s="108">
        <f>SUM(M561*1.31*L561*50%)</f>
        <v>0</v>
      </c>
      <c r="O561" s="375"/>
      <c r="P561" s="375"/>
      <c r="Q561" s="108">
        <f>SUM(P561*1.31*O561*10%)</f>
        <v>0</v>
      </c>
      <c r="R561" s="236"/>
      <c r="S561" s="7"/>
      <c r="T561" s="148"/>
      <c r="U561" s="148"/>
      <c r="V561" s="148"/>
      <c r="W561" s="14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</row>
    <row r="562" spans="1:52" ht="12.75" x14ac:dyDescent="0.2">
      <c r="A562" s="50"/>
      <c r="B562" s="47" t="s">
        <v>144</v>
      </c>
      <c r="C562" s="47"/>
      <c r="D562" s="47"/>
      <c r="E562" s="47"/>
      <c r="F562" s="11"/>
      <c r="G562" s="15" t="s">
        <v>52</v>
      </c>
      <c r="H562" s="28">
        <v>1.64</v>
      </c>
      <c r="I562" s="375"/>
      <c r="J562" s="375"/>
      <c r="K562" s="108">
        <f>SUM(J562*1.64*I562)</f>
        <v>0</v>
      </c>
      <c r="L562" s="375"/>
      <c r="M562" s="375"/>
      <c r="N562" s="108">
        <f>SUM(M562*1.64*L562*50%)</f>
        <v>0</v>
      </c>
      <c r="O562" s="375"/>
      <c r="P562" s="375"/>
      <c r="Q562" s="108">
        <f>SUM(P562*1.64*O562*10%)</f>
        <v>0</v>
      </c>
      <c r="R562" s="236"/>
      <c r="S562" s="7"/>
      <c r="T562" s="148"/>
      <c r="U562" s="148"/>
      <c r="V562" s="148"/>
      <c r="W562" s="14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</row>
    <row r="563" spans="1:52" ht="12.75" x14ac:dyDescent="0.2">
      <c r="A563" s="50"/>
      <c r="B563" s="47" t="s">
        <v>71</v>
      </c>
      <c r="C563" s="47"/>
      <c r="D563" s="47"/>
      <c r="E563" s="47"/>
      <c r="F563" s="11"/>
      <c r="G563" s="15" t="s">
        <v>66</v>
      </c>
      <c r="H563" s="28">
        <v>1.84</v>
      </c>
      <c r="I563" s="375"/>
      <c r="J563" s="375"/>
      <c r="K563" s="108">
        <f>SUM(J563*1.84*I563)</f>
        <v>0</v>
      </c>
      <c r="L563" s="375"/>
      <c r="M563" s="375"/>
      <c r="N563" s="108">
        <f>SUM(M563*1.84*L563*50%)</f>
        <v>0</v>
      </c>
      <c r="O563" s="375"/>
      <c r="P563" s="375"/>
      <c r="Q563" s="108">
        <f>SUM(P563*1.84*O563*10%)</f>
        <v>0</v>
      </c>
      <c r="R563" s="236"/>
      <c r="S563" s="7"/>
      <c r="T563" s="148"/>
      <c r="U563" s="148"/>
      <c r="V563" s="148"/>
      <c r="W563" s="14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</row>
    <row r="564" spans="1:52" ht="12.75" x14ac:dyDescent="0.2">
      <c r="A564" s="50"/>
      <c r="B564" s="22" t="s">
        <v>144</v>
      </c>
      <c r="C564" s="22"/>
      <c r="D564" s="22"/>
      <c r="E564" s="22"/>
      <c r="F564" s="14"/>
      <c r="G564" s="15" t="s">
        <v>66</v>
      </c>
      <c r="H564" s="28">
        <v>2.2999999999999998</v>
      </c>
      <c r="I564" s="375"/>
      <c r="J564" s="375"/>
      <c r="K564" s="108">
        <f>SUM(J564*2.3*I564)</f>
        <v>0</v>
      </c>
      <c r="L564" s="375"/>
      <c r="M564" s="375"/>
      <c r="N564" s="108">
        <f>SUM(M564*2.3*L564*50%)</f>
        <v>0</v>
      </c>
      <c r="O564" s="375"/>
      <c r="P564" s="375"/>
      <c r="Q564" s="108">
        <f>SUM(P564*2.3*O564*10%)</f>
        <v>0</v>
      </c>
      <c r="R564" s="236"/>
      <c r="S564" s="7"/>
      <c r="T564" s="148"/>
      <c r="U564" s="148"/>
      <c r="V564" s="148"/>
      <c r="W564" s="14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</row>
    <row r="565" spans="1:52" ht="12.75" x14ac:dyDescent="0.2">
      <c r="A565" s="7"/>
      <c r="B565" s="7"/>
      <c r="C565" s="7"/>
      <c r="D565" s="7"/>
      <c r="E565" s="7"/>
      <c r="F565" s="7"/>
      <c r="G565" s="7"/>
      <c r="H565" s="94"/>
      <c r="I565" s="94"/>
      <c r="J565" s="98"/>
      <c r="K565" s="185"/>
      <c r="L565" s="185"/>
      <c r="M565" s="98"/>
      <c r="N565" s="185"/>
      <c r="O565" s="185"/>
      <c r="P565" s="98"/>
      <c r="Q565" s="185"/>
      <c r="R565" s="185"/>
      <c r="S565" s="7"/>
      <c r="T565" s="148"/>
      <c r="U565" s="148"/>
      <c r="V565" s="148"/>
      <c r="W565" s="14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</row>
    <row r="566" spans="1:52" ht="13.5" thickBot="1" x14ac:dyDescent="0.25">
      <c r="A566" s="7"/>
      <c r="B566" s="7" t="s">
        <v>122</v>
      </c>
      <c r="C566" s="7"/>
      <c r="D566" s="7"/>
      <c r="E566" s="7"/>
      <c r="F566" s="7"/>
      <c r="G566" s="25"/>
      <c r="H566" s="43"/>
      <c r="I566" s="43"/>
      <c r="J566" s="101" t="s">
        <v>0</v>
      </c>
      <c r="K566" s="761">
        <f>SUM(K556:K564)</f>
        <v>0</v>
      </c>
      <c r="L566" s="186"/>
      <c r="M566" s="101" t="s">
        <v>0</v>
      </c>
      <c r="N566" s="761">
        <f>SUM(N556:N564)</f>
        <v>0</v>
      </c>
      <c r="O566" s="186"/>
      <c r="P566" s="101" t="s">
        <v>0</v>
      </c>
      <c r="Q566" s="761">
        <f>SUM(Q559:Q564)</f>
        <v>0</v>
      </c>
      <c r="R566" s="428"/>
      <c r="S566" s="7"/>
      <c r="T566" s="148"/>
      <c r="U566" s="148"/>
      <c r="V566" s="148"/>
      <c r="W566" s="14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</row>
    <row r="567" spans="1:52" ht="12.75" x14ac:dyDescent="0.2">
      <c r="A567" s="7"/>
      <c r="B567" s="7"/>
      <c r="C567" s="7"/>
      <c r="D567" s="7"/>
      <c r="E567" s="7"/>
      <c r="F567" s="7"/>
      <c r="G567" s="25"/>
      <c r="H567" s="55"/>
      <c r="I567" s="25"/>
      <c r="J567" s="7"/>
      <c r="K567" s="7"/>
      <c r="L567" s="7"/>
      <c r="M567" s="7"/>
      <c r="N567" s="7"/>
      <c r="O567" s="25"/>
      <c r="P567" s="7"/>
      <c r="Q567" s="7"/>
      <c r="R567" s="7"/>
      <c r="S567" s="7"/>
      <c r="T567" s="148"/>
      <c r="U567" s="148"/>
      <c r="V567" s="148"/>
      <c r="W567" s="14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</row>
    <row r="568" spans="1:52" ht="12.75" x14ac:dyDescent="0.2">
      <c r="A568" s="7"/>
      <c r="B568" s="7"/>
      <c r="C568" s="7"/>
      <c r="D568" s="7"/>
      <c r="E568" s="7"/>
      <c r="F568" s="25"/>
      <c r="G568" s="55"/>
      <c r="H568" s="55"/>
      <c r="I568" s="7"/>
      <c r="J568" s="7"/>
      <c r="K568" s="7"/>
      <c r="L568" s="7"/>
      <c r="M568" s="7"/>
      <c r="N568" s="7"/>
      <c r="O568" s="25"/>
      <c r="P568" s="7"/>
      <c r="Q568" s="7"/>
      <c r="R568" s="7"/>
      <c r="S568" s="7"/>
      <c r="T568" s="148"/>
      <c r="U568" s="148"/>
      <c r="V568" s="148"/>
      <c r="W568" s="14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</row>
    <row r="569" spans="1:52" ht="12.75" x14ac:dyDescent="0.2">
      <c r="A569" s="7"/>
      <c r="B569" s="7" t="s">
        <v>146</v>
      </c>
      <c r="C569" s="7"/>
      <c r="D569" s="7"/>
      <c r="E569" s="7"/>
      <c r="F569" s="25"/>
      <c r="G569" s="55"/>
      <c r="H569" s="25"/>
      <c r="I569" s="7"/>
      <c r="J569" s="7"/>
      <c r="K569" s="7"/>
      <c r="L569" s="7"/>
      <c r="M569" s="7"/>
      <c r="N569" s="7"/>
      <c r="O569" s="25"/>
      <c r="P569" s="7"/>
      <c r="Q569" s="7"/>
      <c r="R569" s="7"/>
      <c r="S569" s="7"/>
      <c r="T569" s="148"/>
      <c r="U569" s="148"/>
      <c r="V569" s="148"/>
      <c r="W569" s="14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</row>
    <row r="570" spans="1:52" ht="12.75" x14ac:dyDescent="0.2">
      <c r="A570" s="7"/>
      <c r="B570" s="7" t="s">
        <v>147</v>
      </c>
      <c r="C570" s="7"/>
      <c r="D570" s="7"/>
      <c r="E570" s="7"/>
      <c r="F570" s="25"/>
      <c r="G570" s="55"/>
      <c r="H570" s="25"/>
      <c r="I570" s="7"/>
      <c r="J570" s="7"/>
      <c r="K570" s="7"/>
      <c r="L570" s="7"/>
      <c r="M570" s="7"/>
      <c r="N570" s="7"/>
      <c r="O570" s="25"/>
      <c r="P570" s="7"/>
      <c r="Q570" s="7"/>
      <c r="R570" s="7"/>
      <c r="S570" s="7"/>
      <c r="T570" s="148"/>
      <c r="U570" s="148"/>
      <c r="V570" s="148"/>
      <c r="W570" s="14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</row>
    <row r="571" spans="1:52" ht="12.75" x14ac:dyDescent="0.2">
      <c r="A571" s="7"/>
      <c r="B571" s="7"/>
      <c r="C571" s="7"/>
      <c r="D571" s="7"/>
      <c r="E571" s="7"/>
      <c r="F571" s="25"/>
      <c r="G571" s="55"/>
      <c r="H571" s="25"/>
      <c r="I571" s="7"/>
      <c r="J571" s="7"/>
      <c r="K571" s="7"/>
      <c r="L571" s="7"/>
      <c r="M571" s="7"/>
      <c r="N571" s="7"/>
      <c r="O571" s="25"/>
      <c r="P571" s="7"/>
      <c r="Q571" s="7"/>
      <c r="R571" s="7"/>
      <c r="S571" s="7"/>
      <c r="T571" s="148"/>
      <c r="U571" s="148"/>
      <c r="V571" s="148"/>
      <c r="W571" s="14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</row>
    <row r="572" spans="1:52" ht="12.75" x14ac:dyDescent="0.2">
      <c r="A572" s="50"/>
      <c r="B572" s="47" t="s">
        <v>32</v>
      </c>
      <c r="C572" s="47"/>
      <c r="D572" s="47" t="s">
        <v>33</v>
      </c>
      <c r="E572" s="47"/>
      <c r="F572" s="11"/>
      <c r="G572" s="46" t="s">
        <v>65</v>
      </c>
      <c r="H572" s="3"/>
      <c r="I572" s="15" t="s">
        <v>12</v>
      </c>
      <c r="J572" s="15" t="s">
        <v>158</v>
      </c>
      <c r="K572" s="15" t="s">
        <v>0</v>
      </c>
      <c r="L572" s="7"/>
      <c r="M572" s="7"/>
      <c r="N572" s="7"/>
      <c r="O572" s="7"/>
      <c r="P572" s="7"/>
      <c r="Q572" s="7"/>
      <c r="R572" s="7"/>
      <c r="S572" s="7"/>
      <c r="T572" s="148"/>
      <c r="U572" s="148"/>
      <c r="V572" s="148"/>
      <c r="W572" s="14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</row>
    <row r="573" spans="1:52" ht="12.75" x14ac:dyDescent="0.2">
      <c r="A573" s="50"/>
      <c r="B573" s="47" t="s">
        <v>32</v>
      </c>
      <c r="C573" s="47"/>
      <c r="D573" s="47" t="s">
        <v>34</v>
      </c>
      <c r="E573" s="47"/>
      <c r="F573" s="47"/>
      <c r="G573" s="798" t="s">
        <v>35</v>
      </c>
      <c r="H573" s="799"/>
      <c r="I573" s="53">
        <v>0.73</v>
      </c>
      <c r="J573" s="375"/>
      <c r="K573" s="108">
        <f>SUM(J573*0.73)</f>
        <v>0</v>
      </c>
      <c r="L573" s="7"/>
      <c r="M573" s="7"/>
      <c r="N573" s="7"/>
      <c r="O573" s="7"/>
      <c r="P573" s="7"/>
      <c r="Q573" s="7"/>
      <c r="R573" s="7"/>
      <c r="S573" s="7"/>
      <c r="T573" s="148"/>
      <c r="U573" s="148"/>
      <c r="V573" s="148"/>
      <c r="W573" s="14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</row>
    <row r="574" spans="1:52" ht="12.75" x14ac:dyDescent="0.2">
      <c r="A574" s="50"/>
      <c r="B574" s="47" t="s">
        <v>32</v>
      </c>
      <c r="C574" s="47"/>
      <c r="D574" s="47" t="s">
        <v>34</v>
      </c>
      <c r="E574" s="47"/>
      <c r="F574" s="47"/>
      <c r="G574" s="798" t="s">
        <v>36</v>
      </c>
      <c r="H574" s="799"/>
      <c r="I574" s="53">
        <v>1.1000000000000001</v>
      </c>
      <c r="J574" s="375"/>
      <c r="K574" s="108">
        <f>SUM(J574*1.1)</f>
        <v>0</v>
      </c>
      <c r="L574" s="7"/>
      <c r="M574" s="7"/>
      <c r="N574" s="7"/>
      <c r="O574" s="7"/>
      <c r="P574" s="7"/>
      <c r="Q574" s="7"/>
      <c r="R574" s="7"/>
      <c r="S574" s="7"/>
      <c r="T574" s="148"/>
      <c r="U574" s="148"/>
      <c r="V574" s="148"/>
      <c r="W574" s="148"/>
      <c r="X574" s="148"/>
      <c r="Y574" s="148"/>
      <c r="Z574" s="148"/>
      <c r="AA574" s="148"/>
      <c r="AB574" s="148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</row>
    <row r="575" spans="1:52" ht="12.75" x14ac:dyDescent="0.2">
      <c r="A575" s="50"/>
      <c r="B575" s="47" t="s">
        <v>2</v>
      </c>
      <c r="C575" s="47"/>
      <c r="D575" s="47" t="s">
        <v>33</v>
      </c>
      <c r="E575" s="47"/>
      <c r="F575" s="11"/>
      <c r="G575" s="49" t="s">
        <v>65</v>
      </c>
      <c r="H575" s="7"/>
      <c r="I575" s="15"/>
      <c r="J575" s="28"/>
      <c r="K575" s="201"/>
      <c r="L575" s="7"/>
      <c r="M575" s="7"/>
      <c r="N575" s="7"/>
      <c r="O575" s="7"/>
      <c r="P575" s="7"/>
      <c r="Q575" s="7"/>
      <c r="R575" s="7"/>
      <c r="S575" s="7"/>
      <c r="T575" s="148"/>
      <c r="U575" s="148"/>
      <c r="V575" s="148"/>
      <c r="W575" s="148"/>
      <c r="X575" s="148"/>
      <c r="Y575" s="148"/>
      <c r="Z575" s="148"/>
      <c r="AA575" s="148"/>
      <c r="AB575" s="148"/>
      <c r="AC575" s="148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</row>
    <row r="576" spans="1:52" ht="12.75" x14ac:dyDescent="0.2">
      <c r="A576" s="50"/>
      <c r="B576" s="47" t="s">
        <v>2</v>
      </c>
      <c r="C576" s="47"/>
      <c r="D576" s="47" t="s">
        <v>34</v>
      </c>
      <c r="E576" s="47"/>
      <c r="F576" s="47"/>
      <c r="G576" s="798" t="s">
        <v>35</v>
      </c>
      <c r="H576" s="799"/>
      <c r="I576" s="53">
        <v>1.4</v>
      </c>
      <c r="J576" s="375"/>
      <c r="K576" s="108">
        <f>SUM(J576*1.4)</f>
        <v>0</v>
      </c>
      <c r="L576" s="7"/>
      <c r="M576" s="7"/>
      <c r="N576" s="7"/>
      <c r="O576" s="7"/>
      <c r="P576" s="7"/>
      <c r="Q576" s="7"/>
      <c r="R576" s="7"/>
      <c r="S576" s="7"/>
      <c r="T576" s="148"/>
      <c r="U576" s="148"/>
      <c r="V576" s="148"/>
      <c r="W576" s="148"/>
      <c r="X576" s="148"/>
      <c r="Y576" s="148"/>
      <c r="Z576" s="148"/>
      <c r="AA576" s="148"/>
      <c r="AB576" s="148"/>
      <c r="AC576" s="148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</row>
    <row r="577" spans="1:52" ht="12.75" x14ac:dyDescent="0.2">
      <c r="A577" s="50"/>
      <c r="B577" s="47" t="s">
        <v>2</v>
      </c>
      <c r="C577" s="47"/>
      <c r="D577" s="47" t="s">
        <v>34</v>
      </c>
      <c r="E577" s="47"/>
      <c r="F577" s="47"/>
      <c r="G577" s="798" t="s">
        <v>36</v>
      </c>
      <c r="H577" s="799"/>
      <c r="I577" s="53">
        <v>1.74</v>
      </c>
      <c r="J577" s="375"/>
      <c r="K577" s="108">
        <f>SUM(J577*1.74)</f>
        <v>0</v>
      </c>
      <c r="L577" s="7"/>
      <c r="M577" s="7"/>
      <c r="N577" s="7"/>
      <c r="O577" s="7"/>
      <c r="P577" s="7"/>
      <c r="Q577" s="7"/>
      <c r="R577" s="7"/>
      <c r="S577" s="7"/>
      <c r="T577" s="148"/>
      <c r="U577" s="148"/>
      <c r="V577" s="148"/>
      <c r="W577" s="148"/>
      <c r="X577" s="148"/>
      <c r="Y577" s="148"/>
      <c r="Z577" s="148"/>
      <c r="AA577" s="148"/>
      <c r="AB577" s="148"/>
      <c r="AC577" s="148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</row>
    <row r="578" spans="1:52" ht="12.75" x14ac:dyDescent="0.2">
      <c r="A578" s="50"/>
      <c r="B578" s="7" t="s">
        <v>37</v>
      </c>
      <c r="C578" s="7"/>
      <c r="D578" s="7"/>
      <c r="E578" s="7"/>
      <c r="F578" s="7"/>
      <c r="G578" s="57"/>
      <c r="H578" s="14"/>
      <c r="I578" s="56">
        <v>0.09</v>
      </c>
      <c r="J578" s="375"/>
      <c r="K578" s="108">
        <f>SUM(J578*0.09)</f>
        <v>0</v>
      </c>
      <c r="L578" s="7"/>
      <c r="M578" s="7"/>
      <c r="N578" s="7"/>
      <c r="O578" s="7"/>
      <c r="P578" s="7"/>
      <c r="Q578" s="7"/>
      <c r="R578" s="7"/>
      <c r="S578" s="7"/>
      <c r="T578" s="148"/>
      <c r="U578" s="148"/>
      <c r="V578" s="148"/>
      <c r="W578" s="148"/>
      <c r="X578" s="148"/>
      <c r="Y578" s="148"/>
      <c r="Z578" s="148"/>
      <c r="AA578" s="148"/>
      <c r="AB578" s="148"/>
      <c r="AC578" s="148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</row>
    <row r="579" spans="1:52" ht="12.75" x14ac:dyDescent="0.2">
      <c r="A579" s="50"/>
      <c r="B579" s="47" t="s">
        <v>150</v>
      </c>
      <c r="C579" s="47"/>
      <c r="D579" s="47" t="s">
        <v>34</v>
      </c>
      <c r="E579" s="47"/>
      <c r="F579" s="47" t="s">
        <v>148</v>
      </c>
      <c r="G579" s="72" t="s">
        <v>65</v>
      </c>
      <c r="H579" s="73"/>
      <c r="I579" s="11"/>
      <c r="J579" s="28"/>
      <c r="K579" s="194"/>
      <c r="L579" s="7"/>
      <c r="M579" s="7"/>
      <c r="N579" s="7"/>
      <c r="O579" s="7"/>
      <c r="P579" s="7"/>
      <c r="Q579" s="7"/>
      <c r="R579" s="7"/>
      <c r="S579" s="7"/>
      <c r="T579" s="148"/>
      <c r="U579" s="148"/>
      <c r="V579" s="148"/>
      <c r="W579" s="148"/>
      <c r="X579" s="148"/>
      <c r="Y579" s="148"/>
      <c r="Z579" s="148"/>
      <c r="AA579" s="148"/>
      <c r="AB579" s="148"/>
      <c r="AC579" s="148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</row>
    <row r="580" spans="1:52" ht="12.75" x14ac:dyDescent="0.2">
      <c r="A580" s="7"/>
      <c r="B580" s="68"/>
      <c r="C580" s="7"/>
      <c r="D580" s="7"/>
      <c r="E580" s="7"/>
      <c r="F580" s="7"/>
      <c r="G580" s="796"/>
      <c r="H580" s="796"/>
      <c r="I580" s="25"/>
      <c r="J580" s="94"/>
      <c r="K580" s="190"/>
      <c r="L580" s="7"/>
      <c r="M580" s="7"/>
      <c r="N580" s="7"/>
      <c r="O580" s="7"/>
      <c r="P580" s="7"/>
      <c r="Q580" s="7"/>
      <c r="R580" s="7"/>
      <c r="S580" s="7"/>
      <c r="T580" s="148"/>
      <c r="U580" s="148"/>
      <c r="V580" s="148"/>
      <c r="W580" s="14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</row>
    <row r="581" spans="1:52" ht="12.75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94"/>
      <c r="K581" s="190"/>
      <c r="L581" s="7"/>
      <c r="M581" s="7"/>
      <c r="N581" s="7"/>
      <c r="O581" s="7"/>
      <c r="P581" s="7"/>
      <c r="Q581" s="7"/>
      <c r="R581" s="7"/>
      <c r="S581" s="7"/>
      <c r="T581" s="148"/>
      <c r="U581" s="148"/>
      <c r="V581" s="148"/>
      <c r="W581" s="14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</row>
    <row r="582" spans="1:52" ht="15.75" customHeight="1" thickBot="1" x14ac:dyDescent="0.25">
      <c r="A582" s="7"/>
      <c r="B582" s="7"/>
      <c r="C582" s="7"/>
      <c r="D582" s="7"/>
      <c r="E582" s="7"/>
      <c r="F582" s="7"/>
      <c r="G582" s="7"/>
      <c r="H582" s="7"/>
      <c r="I582" s="68"/>
      <c r="J582" s="101" t="s">
        <v>0</v>
      </c>
      <c r="K582" s="761">
        <f>SUM(K573:K579)</f>
        <v>0</v>
      </c>
      <c r="L582" s="98"/>
      <c r="M582" s="98"/>
      <c r="N582" s="98"/>
      <c r="O582" s="98"/>
      <c r="P582" s="100" t="s">
        <v>220</v>
      </c>
      <c r="Q582" s="100" t="s">
        <v>0</v>
      </c>
      <c r="R582" s="737">
        <f>SUM(K566+N566+Q566+K582)</f>
        <v>0</v>
      </c>
      <c r="S582" s="7"/>
      <c r="T582" s="148"/>
      <c r="U582" s="148"/>
      <c r="V582" s="148"/>
      <c r="W582" s="14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</row>
    <row r="583" spans="1:52" ht="12.75" hidden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148"/>
      <c r="U583" s="148"/>
      <c r="V583" s="148"/>
      <c r="W583" s="14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</row>
    <row r="584" spans="1:52" ht="30" customHeight="1" x14ac:dyDescent="0.45">
      <c r="A584" s="7"/>
      <c r="B584" s="17"/>
      <c r="C584" s="17"/>
      <c r="D584" s="17"/>
      <c r="E584" s="25"/>
      <c r="F584" s="25"/>
      <c r="G584" s="8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148"/>
      <c r="U584" s="148"/>
      <c r="V584" s="148"/>
      <c r="W584" s="14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/>
      <c r="AH584" s="148"/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</row>
    <row r="585" spans="1:52" ht="0.75" customHeight="1" x14ac:dyDescent="0.45">
      <c r="A585" s="18">
        <v>0</v>
      </c>
      <c r="T585" s="148"/>
      <c r="U585" s="148"/>
      <c r="V585" s="148"/>
      <c r="W585" s="14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/>
      <c r="AH585" s="148"/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</row>
    <row r="586" spans="1:52" ht="0.75" customHeight="1" x14ac:dyDescent="0.45">
      <c r="A586" s="18">
        <v>1</v>
      </c>
      <c r="T586" s="148"/>
      <c r="U586" s="148"/>
      <c r="V586" s="148"/>
      <c r="W586" s="14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/>
      <c r="AH586" s="148"/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</row>
    <row r="587" spans="1:52" ht="0.75" customHeight="1" x14ac:dyDescent="0.45">
      <c r="A587" s="18">
        <v>2</v>
      </c>
      <c r="T587" s="148"/>
      <c r="U587" s="148"/>
      <c r="V587" s="148"/>
      <c r="W587" s="148"/>
      <c r="X587" s="148"/>
      <c r="Y587" s="148"/>
      <c r="Z587" s="148"/>
      <c r="AA587" s="148"/>
      <c r="AB587" s="148"/>
      <c r="AC587" s="148"/>
      <c r="AD587" s="148"/>
      <c r="AE587" s="148"/>
      <c r="AF587" s="148"/>
      <c r="AG587" s="148"/>
      <c r="AH587" s="148"/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</row>
    <row r="588" spans="1:52" ht="0.75" customHeight="1" x14ac:dyDescent="0.45">
      <c r="A588" s="18">
        <v>3</v>
      </c>
      <c r="T588" s="148"/>
      <c r="U588" s="148"/>
      <c r="V588" s="148"/>
      <c r="W588" s="148"/>
      <c r="X588" s="148"/>
      <c r="Y588" s="148"/>
      <c r="Z588" s="148"/>
      <c r="AA588" s="148"/>
      <c r="AB588" s="148"/>
      <c r="AC588" s="148"/>
      <c r="AD588" s="148"/>
      <c r="AE588" s="148"/>
      <c r="AF588" s="148"/>
      <c r="AG588" s="148"/>
      <c r="AH588" s="148"/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</row>
    <row r="589" spans="1:52" ht="0.75" customHeight="1" x14ac:dyDescent="0.45">
      <c r="A589" s="18">
        <v>4</v>
      </c>
      <c r="T589" s="148"/>
      <c r="U589" s="148"/>
      <c r="V589" s="148"/>
      <c r="W589" s="14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</row>
    <row r="590" spans="1:52" ht="0.75" customHeight="1" x14ac:dyDescent="0.45">
      <c r="A590" s="18">
        <v>5</v>
      </c>
      <c r="T590" s="148"/>
      <c r="U590" s="148"/>
      <c r="V590" s="148"/>
      <c r="W590" s="14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</row>
    <row r="591" spans="1:52" ht="0.75" customHeight="1" x14ac:dyDescent="0.45">
      <c r="A591" s="18">
        <v>6</v>
      </c>
      <c r="T591" s="148"/>
      <c r="U591" s="148"/>
      <c r="V591" s="148"/>
      <c r="W591" s="14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</row>
    <row r="592" spans="1:52" ht="0.75" customHeight="1" x14ac:dyDescent="0.45">
      <c r="A592" s="18">
        <v>7</v>
      </c>
      <c r="T592" s="148"/>
      <c r="U592" s="148"/>
      <c r="V592" s="148"/>
      <c r="W592" s="14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</row>
    <row r="593" spans="1:52" ht="0.75" customHeight="1" x14ac:dyDescent="0.45">
      <c r="A593" s="18">
        <v>8</v>
      </c>
      <c r="T593" s="148"/>
      <c r="U593" s="148"/>
      <c r="V593" s="148"/>
      <c r="W593" s="14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</row>
    <row r="594" spans="1:52" ht="0.75" customHeight="1" x14ac:dyDescent="0.45">
      <c r="A594" s="18">
        <v>9</v>
      </c>
      <c r="T594" s="148"/>
      <c r="U594" s="148"/>
      <c r="V594" s="148"/>
      <c r="W594" s="14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</row>
    <row r="595" spans="1:52" ht="0.75" customHeight="1" x14ac:dyDescent="0.45">
      <c r="A595" s="18">
        <v>10</v>
      </c>
      <c r="T595" s="148"/>
      <c r="U595" s="148"/>
      <c r="V595" s="148"/>
      <c r="W595" s="14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</row>
    <row r="596" spans="1:52" ht="0.75" customHeight="1" x14ac:dyDescent="0.45">
      <c r="A596" s="18">
        <v>11</v>
      </c>
      <c r="T596" s="148"/>
      <c r="U596" s="148"/>
      <c r="V596" s="148"/>
      <c r="W596" s="14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</row>
    <row r="597" spans="1:52" ht="0.75" customHeight="1" x14ac:dyDescent="0.45">
      <c r="A597" s="18">
        <v>12</v>
      </c>
      <c r="T597" s="148"/>
      <c r="U597" s="148"/>
      <c r="V597" s="148"/>
      <c r="W597" s="14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</row>
    <row r="598" spans="1:52" ht="0.75" customHeight="1" x14ac:dyDescent="0.45">
      <c r="A598" s="18">
        <v>13</v>
      </c>
      <c r="T598" s="148"/>
      <c r="U598" s="148"/>
      <c r="V598" s="148"/>
      <c r="W598" s="148"/>
      <c r="X598" s="148"/>
      <c r="Y598" s="148"/>
      <c r="Z598" s="148"/>
      <c r="AA598" s="148"/>
      <c r="AB598" s="148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</row>
    <row r="599" spans="1:52" ht="0.75" customHeight="1" x14ac:dyDescent="0.45">
      <c r="A599" s="18">
        <v>14</v>
      </c>
      <c r="T599" s="148"/>
      <c r="U599" s="148"/>
      <c r="V599" s="148"/>
      <c r="W599" s="148"/>
      <c r="X599" s="148"/>
      <c r="Y599" s="148"/>
      <c r="Z599" s="148"/>
      <c r="AA599" s="148"/>
      <c r="AB599" s="148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</row>
    <row r="600" spans="1:52" ht="0.75" customHeight="1" x14ac:dyDescent="0.45">
      <c r="A600" s="18">
        <v>15</v>
      </c>
      <c r="T600" s="148"/>
      <c r="U600" s="148"/>
      <c r="V600" s="148"/>
      <c r="W600" s="148"/>
      <c r="X600" s="148"/>
      <c r="Y600" s="148"/>
      <c r="Z600" s="148"/>
      <c r="AA600" s="148"/>
      <c r="AB600" s="148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</row>
    <row r="601" spans="1:52" ht="0.75" customHeight="1" x14ac:dyDescent="0.45">
      <c r="A601" s="18">
        <v>16</v>
      </c>
      <c r="T601" s="148"/>
      <c r="U601" s="148"/>
      <c r="V601" s="148"/>
      <c r="W601" s="148"/>
      <c r="X601" s="148"/>
      <c r="Y601" s="148"/>
      <c r="Z601" s="148"/>
      <c r="AA601" s="148"/>
      <c r="AB601" s="148"/>
      <c r="AC601" s="148"/>
      <c r="AD601" s="148"/>
      <c r="AE601" s="148"/>
      <c r="AF601" s="148"/>
      <c r="AG601" s="148"/>
      <c r="AH601" s="148"/>
      <c r="AI601" s="148"/>
      <c r="AJ601" s="148"/>
      <c r="AK601" s="148"/>
      <c r="AL601" s="148"/>
      <c r="AM601" s="148"/>
      <c r="AN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</row>
    <row r="602" spans="1:52" ht="0.75" customHeight="1" x14ac:dyDescent="0.45">
      <c r="A602" s="18">
        <v>17</v>
      </c>
      <c r="T602" s="148"/>
      <c r="U602" s="148"/>
      <c r="V602" s="148"/>
      <c r="W602" s="148"/>
      <c r="X602" s="148"/>
      <c r="Y602" s="148"/>
      <c r="Z602" s="148"/>
      <c r="AA602" s="148"/>
      <c r="AB602" s="148"/>
      <c r="AC602" s="148"/>
      <c r="AD602" s="148"/>
      <c r="AE602" s="148"/>
      <c r="AF602" s="148"/>
      <c r="AG602" s="148"/>
      <c r="AH602" s="148"/>
      <c r="AI602" s="148"/>
      <c r="AJ602" s="148"/>
      <c r="AK602" s="148"/>
      <c r="AL602" s="148"/>
      <c r="AM602" s="148"/>
      <c r="AN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</row>
    <row r="603" spans="1:52" ht="0.75" customHeight="1" x14ac:dyDescent="0.45">
      <c r="A603" s="18">
        <v>18</v>
      </c>
      <c r="T603" s="148"/>
      <c r="U603" s="148"/>
      <c r="V603" s="148"/>
      <c r="W603" s="148"/>
      <c r="X603" s="148"/>
      <c r="Y603" s="148"/>
      <c r="Z603" s="148"/>
      <c r="AA603" s="148"/>
      <c r="AB603" s="148"/>
      <c r="AC603" s="148"/>
      <c r="AD603" s="148"/>
      <c r="AE603" s="148"/>
      <c r="AF603" s="148"/>
      <c r="AG603" s="148"/>
      <c r="AH603" s="148"/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</row>
    <row r="604" spans="1:52" ht="0.75" customHeight="1" x14ac:dyDescent="0.45">
      <c r="A604" s="18">
        <v>19</v>
      </c>
      <c r="T604" s="148"/>
      <c r="U604" s="148"/>
      <c r="V604" s="148"/>
      <c r="W604" s="148"/>
      <c r="X604" s="148"/>
      <c r="Y604" s="148"/>
      <c r="Z604" s="148"/>
      <c r="AA604" s="148"/>
      <c r="AB604" s="148"/>
      <c r="AC604" s="148"/>
      <c r="AD604" s="148"/>
      <c r="AE604" s="148"/>
      <c r="AF604" s="148"/>
      <c r="AG604" s="148"/>
      <c r="AH604" s="148"/>
      <c r="AI604" s="148"/>
      <c r="AJ604" s="148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</row>
    <row r="605" spans="1:52" ht="0.75" customHeight="1" x14ac:dyDescent="0.45">
      <c r="A605" s="18">
        <v>20</v>
      </c>
      <c r="T605" s="148"/>
      <c r="U605" s="148"/>
      <c r="V605" s="148"/>
      <c r="W605" s="148"/>
      <c r="X605" s="148"/>
      <c r="Y605" s="148"/>
      <c r="Z605" s="148"/>
      <c r="AA605" s="148"/>
      <c r="AB605" s="148"/>
      <c r="AC605" s="148"/>
      <c r="AD605" s="148"/>
      <c r="AE605" s="148"/>
      <c r="AF605" s="148"/>
      <c r="AG605" s="148"/>
      <c r="AH605" s="148"/>
      <c r="AI605" s="148"/>
      <c r="AJ605" s="148"/>
      <c r="AK605" s="148"/>
      <c r="AL605" s="148"/>
      <c r="AM605" s="148"/>
      <c r="AN605" s="148"/>
      <c r="AO605" s="148"/>
      <c r="AP605" s="148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</row>
    <row r="606" spans="1:52" ht="0.75" customHeight="1" x14ac:dyDescent="0.45">
      <c r="A606" s="18">
        <v>21</v>
      </c>
      <c r="T606" s="148"/>
      <c r="U606" s="148"/>
      <c r="V606" s="148"/>
      <c r="W606" s="148"/>
      <c r="X606" s="148"/>
      <c r="Y606" s="148"/>
      <c r="Z606" s="148"/>
      <c r="AA606" s="148"/>
      <c r="AB606" s="148"/>
      <c r="AC606" s="148"/>
      <c r="AD606" s="148"/>
      <c r="AE606" s="148"/>
      <c r="AF606" s="148"/>
      <c r="AG606" s="148"/>
      <c r="AH606" s="148"/>
      <c r="AI606" s="148"/>
      <c r="AJ606" s="148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</row>
    <row r="607" spans="1:52" ht="0.75" customHeight="1" x14ac:dyDescent="0.45">
      <c r="A607" s="18">
        <v>22</v>
      </c>
      <c r="T607" s="148"/>
      <c r="U607" s="148"/>
      <c r="V607" s="148"/>
      <c r="W607" s="148"/>
      <c r="X607" s="148"/>
      <c r="Y607" s="148"/>
      <c r="Z607" s="148"/>
      <c r="AA607" s="148"/>
      <c r="AB607" s="148"/>
      <c r="AC607" s="148"/>
      <c r="AD607" s="148"/>
      <c r="AE607" s="148"/>
      <c r="AF607" s="148"/>
      <c r="AG607" s="148"/>
      <c r="AH607" s="148"/>
      <c r="AI607" s="148"/>
      <c r="AJ607" s="148"/>
      <c r="AK607" s="148"/>
      <c r="AL607" s="148"/>
      <c r="AM607" s="148"/>
      <c r="AN607" s="148"/>
      <c r="AO607" s="148"/>
      <c r="AP607" s="148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</row>
    <row r="608" spans="1:52" ht="0.75" customHeight="1" x14ac:dyDescent="0.45">
      <c r="A608" s="18">
        <v>23</v>
      </c>
      <c r="T608" s="148"/>
      <c r="U608" s="148"/>
      <c r="V608" s="148"/>
      <c r="W608" s="148"/>
      <c r="X608" s="148"/>
      <c r="Y608" s="148"/>
      <c r="Z608" s="148"/>
      <c r="AA608" s="148"/>
      <c r="AB608" s="148"/>
      <c r="AC608" s="148"/>
      <c r="AD608" s="148"/>
      <c r="AE608" s="148"/>
      <c r="AF608" s="148"/>
      <c r="AG608" s="148"/>
      <c r="AH608" s="148"/>
      <c r="AI608" s="148"/>
      <c r="AJ608" s="148"/>
      <c r="AK608" s="148"/>
      <c r="AL608" s="148"/>
      <c r="AM608" s="148"/>
      <c r="AN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</row>
    <row r="609" spans="1:52" ht="0.75" customHeight="1" x14ac:dyDescent="0.45">
      <c r="A609" s="18">
        <v>24</v>
      </c>
      <c r="T609" s="148"/>
      <c r="U609" s="148"/>
      <c r="V609" s="148"/>
      <c r="W609" s="148"/>
      <c r="X609" s="148"/>
      <c r="Y609" s="148"/>
      <c r="Z609" s="148"/>
      <c r="AA609" s="148"/>
      <c r="AB609" s="148"/>
      <c r="AC609" s="148"/>
      <c r="AD609" s="148"/>
      <c r="AE609" s="148"/>
      <c r="AF609" s="148"/>
      <c r="AG609" s="148"/>
      <c r="AH609" s="148"/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</row>
    <row r="610" spans="1:52" ht="0.75" customHeight="1" x14ac:dyDescent="0.45">
      <c r="A610" s="18">
        <v>25</v>
      </c>
      <c r="T610" s="148"/>
      <c r="U610" s="148"/>
      <c r="V610" s="148"/>
      <c r="W610" s="148"/>
      <c r="X610" s="148"/>
      <c r="Y610" s="148"/>
      <c r="Z610" s="148"/>
      <c r="AA610" s="148"/>
      <c r="AB610" s="148"/>
      <c r="AC610" s="148"/>
      <c r="AD610" s="148"/>
      <c r="AE610" s="148"/>
      <c r="AF610" s="148"/>
      <c r="AG610" s="148"/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</row>
    <row r="611" spans="1:52" ht="0.75" customHeight="1" x14ac:dyDescent="0.45">
      <c r="A611" s="18">
        <v>26</v>
      </c>
      <c r="T611" s="148"/>
      <c r="U611" s="148"/>
      <c r="V611" s="148"/>
      <c r="W611" s="148"/>
      <c r="X611" s="148"/>
      <c r="Y611" s="148"/>
      <c r="Z611" s="148"/>
      <c r="AA611" s="148"/>
      <c r="AB611" s="148"/>
      <c r="AC611" s="148"/>
      <c r="AD611" s="148"/>
      <c r="AE611" s="148"/>
      <c r="AF611" s="148"/>
      <c r="AG611" s="148"/>
      <c r="AH611" s="148"/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</row>
    <row r="612" spans="1:52" ht="0.75" customHeight="1" x14ac:dyDescent="0.45">
      <c r="A612" s="18">
        <v>27</v>
      </c>
      <c r="T612" s="148"/>
      <c r="U612" s="148"/>
      <c r="V612" s="148"/>
      <c r="W612" s="148"/>
      <c r="X612" s="148"/>
      <c r="Y612" s="148"/>
      <c r="Z612" s="148"/>
      <c r="AA612" s="148"/>
      <c r="AB612" s="148"/>
      <c r="AC612" s="148"/>
      <c r="AD612" s="148"/>
      <c r="AE612" s="148"/>
      <c r="AF612" s="148"/>
      <c r="AG612" s="148"/>
      <c r="AH612" s="148"/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</row>
    <row r="613" spans="1:52" ht="0.75" customHeight="1" x14ac:dyDescent="0.45">
      <c r="A613" s="18">
        <v>28</v>
      </c>
      <c r="T613" s="148"/>
      <c r="U613" s="148"/>
      <c r="V613" s="148"/>
      <c r="W613" s="148"/>
      <c r="X613" s="148"/>
      <c r="Y613" s="148"/>
      <c r="Z613" s="148"/>
      <c r="AA613" s="148"/>
      <c r="AB613" s="148"/>
      <c r="AC613" s="148"/>
      <c r="AD613" s="148"/>
      <c r="AE613" s="148"/>
      <c r="AF613" s="148"/>
      <c r="AG613" s="148"/>
      <c r="AH613" s="148"/>
      <c r="AI613" s="148"/>
      <c r="AJ613" s="148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</row>
    <row r="614" spans="1:52" ht="0.75" customHeight="1" x14ac:dyDescent="0.45">
      <c r="A614" s="18">
        <v>29</v>
      </c>
      <c r="T614" s="148"/>
      <c r="U614" s="148"/>
      <c r="V614" s="148"/>
      <c r="W614" s="148"/>
      <c r="X614" s="148"/>
      <c r="Y614" s="148"/>
      <c r="Z614" s="148"/>
      <c r="AA614" s="148"/>
      <c r="AB614" s="148"/>
      <c r="AC614" s="148"/>
      <c r="AD614" s="148"/>
      <c r="AE614" s="148"/>
      <c r="AF614" s="148"/>
      <c r="AG614" s="148"/>
      <c r="AH614" s="148"/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</row>
    <row r="615" spans="1:52" ht="0.75" customHeight="1" x14ac:dyDescent="0.45">
      <c r="A615" s="18">
        <v>30</v>
      </c>
      <c r="T615" s="148"/>
      <c r="U615" s="148"/>
      <c r="V615" s="148"/>
      <c r="W615" s="148"/>
      <c r="X615" s="148"/>
      <c r="Y615" s="148"/>
      <c r="Z615" s="148"/>
      <c r="AA615" s="148"/>
      <c r="AB615" s="148"/>
      <c r="AC615" s="148"/>
      <c r="AD615" s="148"/>
      <c r="AE615" s="148"/>
      <c r="AF615" s="148"/>
      <c r="AG615" s="148"/>
      <c r="AH615" s="148"/>
      <c r="AI615" s="148"/>
      <c r="AJ615" s="148"/>
      <c r="AK615" s="148"/>
      <c r="AL615" s="148"/>
      <c r="AM615" s="148"/>
      <c r="AN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</row>
    <row r="616" spans="1:52" ht="0.75" customHeight="1" x14ac:dyDescent="0.45">
      <c r="A616" s="18">
        <v>31</v>
      </c>
      <c r="T616" s="148"/>
      <c r="U616" s="148"/>
      <c r="V616" s="148"/>
      <c r="W616" s="148"/>
      <c r="X616" s="148"/>
      <c r="Y616" s="148"/>
      <c r="Z616" s="148"/>
      <c r="AA616" s="148"/>
      <c r="AB616" s="148"/>
      <c r="AC616" s="148"/>
      <c r="AD616" s="148"/>
      <c r="AE616" s="148"/>
      <c r="AF616" s="148"/>
      <c r="AG616" s="148"/>
      <c r="AH616" s="148"/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</row>
    <row r="617" spans="1:52" ht="0.75" customHeight="1" x14ac:dyDescent="0.45">
      <c r="A617" s="18">
        <v>32</v>
      </c>
      <c r="T617" s="148"/>
      <c r="U617" s="148"/>
      <c r="V617" s="148"/>
      <c r="W617" s="148"/>
      <c r="X617" s="148"/>
      <c r="Y617" s="148"/>
      <c r="Z617" s="148"/>
      <c r="AA617" s="148"/>
      <c r="AB617" s="148"/>
      <c r="AC617" s="148"/>
      <c r="AD617" s="148"/>
      <c r="AE617" s="148"/>
      <c r="AF617" s="148"/>
      <c r="AG617" s="148"/>
      <c r="AH617" s="148"/>
      <c r="AI617" s="148"/>
      <c r="AJ617" s="148"/>
      <c r="AK617" s="148"/>
      <c r="AL617" s="148"/>
      <c r="AM617" s="148"/>
      <c r="AN617" s="148"/>
      <c r="AO617" s="148"/>
      <c r="AP617" s="148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</row>
    <row r="618" spans="1:52" ht="0.75" customHeight="1" x14ac:dyDescent="0.45">
      <c r="A618" s="18">
        <v>33</v>
      </c>
      <c r="T618" s="148"/>
      <c r="U618" s="148"/>
      <c r="V618" s="148"/>
      <c r="W618" s="148"/>
      <c r="X618" s="148"/>
      <c r="Y618" s="148"/>
      <c r="Z618" s="148"/>
      <c r="AA618" s="148"/>
      <c r="AB618" s="148"/>
      <c r="AC618" s="148"/>
      <c r="AD618" s="148"/>
      <c r="AE618" s="148"/>
      <c r="AF618" s="148"/>
      <c r="AG618" s="148"/>
      <c r="AH618" s="148"/>
      <c r="AI618" s="148"/>
      <c r="AJ618" s="148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</row>
    <row r="619" spans="1:52" ht="0.75" customHeight="1" x14ac:dyDescent="0.45">
      <c r="A619" s="18">
        <v>34</v>
      </c>
      <c r="T619" s="148"/>
      <c r="U619" s="148"/>
      <c r="V619" s="148"/>
      <c r="W619" s="148"/>
      <c r="X619" s="148"/>
      <c r="Y619" s="148"/>
      <c r="Z619" s="148"/>
      <c r="AA619" s="148"/>
      <c r="AB619" s="148"/>
      <c r="AC619" s="148"/>
      <c r="AD619" s="148"/>
      <c r="AE619" s="148"/>
      <c r="AF619" s="148"/>
      <c r="AG619" s="148"/>
      <c r="AH619" s="148"/>
      <c r="AI619" s="148"/>
      <c r="AJ619" s="148"/>
      <c r="AK619" s="148"/>
      <c r="AL619" s="148"/>
      <c r="AM619" s="148"/>
      <c r="AN619" s="148"/>
      <c r="AO619" s="148"/>
      <c r="AP619" s="148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</row>
    <row r="620" spans="1:52" ht="0.75" customHeight="1" x14ac:dyDescent="0.45">
      <c r="A620" s="18">
        <v>35</v>
      </c>
      <c r="T620" s="148"/>
      <c r="U620" s="148"/>
      <c r="V620" s="148"/>
      <c r="W620" s="148"/>
      <c r="X620" s="148"/>
      <c r="Y620" s="148"/>
      <c r="Z620" s="148"/>
      <c r="AA620" s="148"/>
      <c r="AB620" s="148"/>
      <c r="AC620" s="148"/>
      <c r="AD620" s="148"/>
      <c r="AE620" s="148"/>
      <c r="AF620" s="148"/>
      <c r="AG620" s="148"/>
      <c r="AH620" s="148"/>
      <c r="AI620" s="148"/>
      <c r="AJ620" s="148"/>
      <c r="AK620" s="148"/>
      <c r="AL620" s="148"/>
      <c r="AM620" s="148"/>
      <c r="AN620" s="148"/>
      <c r="AO620" s="148"/>
      <c r="AP620" s="148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</row>
    <row r="621" spans="1:52" ht="0.75" customHeight="1" x14ac:dyDescent="0.45">
      <c r="A621" s="18">
        <v>36</v>
      </c>
      <c r="T621" s="148"/>
      <c r="U621" s="148"/>
      <c r="V621" s="148"/>
      <c r="W621" s="148"/>
      <c r="X621" s="148"/>
      <c r="Y621" s="148"/>
      <c r="Z621" s="148"/>
      <c r="AA621" s="148"/>
      <c r="AB621" s="148"/>
      <c r="AC621" s="148"/>
      <c r="AD621" s="148"/>
      <c r="AE621" s="148"/>
      <c r="AF621" s="148"/>
      <c r="AG621" s="148"/>
      <c r="AH621" s="148"/>
      <c r="AI621" s="148"/>
      <c r="AJ621" s="148"/>
      <c r="AK621" s="148"/>
      <c r="AL621" s="148"/>
      <c r="AM621" s="148"/>
      <c r="AN621" s="148"/>
      <c r="AO621" s="148"/>
      <c r="AP621" s="148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</row>
    <row r="622" spans="1:52" ht="0.75" customHeight="1" x14ac:dyDescent="0.45">
      <c r="A622" s="18">
        <v>37</v>
      </c>
      <c r="T622" s="148"/>
      <c r="U622" s="148"/>
      <c r="V622" s="148"/>
      <c r="W622" s="148"/>
      <c r="X622" s="148"/>
      <c r="Y622" s="148"/>
      <c r="Z622" s="148"/>
      <c r="AA622" s="148"/>
      <c r="AB622" s="148"/>
      <c r="AC622" s="148"/>
      <c r="AD622" s="148"/>
      <c r="AE622" s="148"/>
      <c r="AF622" s="148"/>
      <c r="AG622" s="148"/>
      <c r="AH622" s="148"/>
      <c r="AI622" s="148"/>
      <c r="AJ622" s="148"/>
      <c r="AK622" s="148"/>
      <c r="AL622" s="148"/>
      <c r="AM622" s="148"/>
      <c r="AN622" s="148"/>
      <c r="AO622" s="148"/>
      <c r="AP622" s="148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</row>
    <row r="623" spans="1:52" ht="0.75" customHeight="1" x14ac:dyDescent="0.45">
      <c r="A623" s="18">
        <v>38</v>
      </c>
      <c r="T623" s="148"/>
      <c r="U623" s="148"/>
      <c r="V623" s="148"/>
      <c r="W623" s="148"/>
      <c r="X623" s="148"/>
      <c r="Y623" s="148"/>
      <c r="Z623" s="148"/>
      <c r="AA623" s="148"/>
      <c r="AB623" s="148"/>
      <c r="AC623" s="148"/>
      <c r="AD623" s="148"/>
      <c r="AE623" s="148"/>
      <c r="AF623" s="148"/>
      <c r="AG623" s="148"/>
      <c r="AH623" s="148"/>
      <c r="AI623" s="148"/>
      <c r="AJ623" s="148"/>
      <c r="AK623" s="148"/>
      <c r="AL623" s="148"/>
      <c r="AM623" s="148"/>
      <c r="AN623" s="148"/>
      <c r="AO623" s="148"/>
      <c r="AP623" s="148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</row>
    <row r="624" spans="1:52" ht="0.75" customHeight="1" x14ac:dyDescent="0.45">
      <c r="A624" s="18">
        <v>39</v>
      </c>
      <c r="T624" s="148"/>
      <c r="U624" s="148"/>
      <c r="V624" s="148"/>
      <c r="W624" s="148"/>
      <c r="X624" s="148"/>
      <c r="Y624" s="148"/>
      <c r="Z624" s="148"/>
      <c r="AA624" s="148"/>
      <c r="AB624" s="148"/>
      <c r="AC624" s="148"/>
      <c r="AD624" s="148"/>
      <c r="AE624" s="148"/>
      <c r="AF624" s="148"/>
      <c r="AG624" s="148"/>
      <c r="AH624" s="148"/>
      <c r="AI624" s="148"/>
      <c r="AJ624" s="148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</row>
    <row r="625" spans="1:52" ht="0.75" customHeight="1" x14ac:dyDescent="0.45">
      <c r="A625" s="18">
        <v>40</v>
      </c>
      <c r="T625" s="148"/>
      <c r="U625" s="148"/>
      <c r="V625" s="148"/>
      <c r="W625" s="148"/>
      <c r="X625" s="148"/>
      <c r="Y625" s="148"/>
      <c r="Z625" s="148"/>
      <c r="AA625" s="148"/>
      <c r="AB625" s="148"/>
      <c r="AC625" s="148"/>
      <c r="AD625" s="148"/>
      <c r="AE625" s="148"/>
      <c r="AF625" s="148"/>
      <c r="AG625" s="148"/>
      <c r="AH625" s="148"/>
      <c r="AI625" s="148"/>
      <c r="AJ625" s="148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</row>
    <row r="626" spans="1:52" ht="0.75" customHeight="1" x14ac:dyDescent="0.45">
      <c r="A626" s="18">
        <v>41</v>
      </c>
      <c r="T626" s="148"/>
      <c r="U626" s="148"/>
      <c r="V626" s="148"/>
      <c r="W626" s="148"/>
      <c r="X626" s="148"/>
      <c r="Y626" s="148"/>
      <c r="Z626" s="148"/>
      <c r="AA626" s="148"/>
      <c r="AB626" s="148"/>
      <c r="AC626" s="148"/>
      <c r="AD626" s="148"/>
      <c r="AE626" s="148"/>
      <c r="AF626" s="148"/>
      <c r="AG626" s="148"/>
      <c r="AH626" s="148"/>
      <c r="AI626" s="148"/>
      <c r="AJ626" s="148"/>
      <c r="AK626" s="148"/>
      <c r="AL626" s="148"/>
      <c r="AM626" s="148"/>
      <c r="AN626" s="148"/>
      <c r="AO626" s="148"/>
      <c r="AP626" s="148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</row>
    <row r="627" spans="1:52" ht="0.75" customHeight="1" x14ac:dyDescent="0.45">
      <c r="A627" s="18">
        <v>42</v>
      </c>
      <c r="T627" s="148"/>
      <c r="U627" s="148"/>
      <c r="V627" s="148"/>
      <c r="W627" s="148"/>
      <c r="X627" s="148"/>
      <c r="Y627" s="148"/>
      <c r="Z627" s="148"/>
      <c r="AA627" s="148"/>
      <c r="AB627" s="148"/>
      <c r="AC627" s="148"/>
      <c r="AD627" s="148"/>
      <c r="AE627" s="148"/>
      <c r="AF627" s="148"/>
      <c r="AG627" s="148"/>
      <c r="AH627" s="148"/>
      <c r="AI627" s="148"/>
      <c r="AJ627" s="148"/>
      <c r="AK627" s="148"/>
      <c r="AL627" s="148"/>
      <c r="AM627" s="148"/>
      <c r="AN627" s="148"/>
      <c r="AO627" s="148"/>
      <c r="AP627" s="148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</row>
    <row r="628" spans="1:52" ht="0.75" customHeight="1" x14ac:dyDescent="0.45">
      <c r="A628" s="18">
        <v>43</v>
      </c>
      <c r="T628" s="148"/>
      <c r="U628" s="148"/>
      <c r="V628" s="148"/>
      <c r="W628" s="148"/>
      <c r="X628" s="148"/>
      <c r="Y628" s="148"/>
      <c r="Z628" s="148"/>
      <c r="AA628" s="148"/>
      <c r="AB628" s="148"/>
      <c r="AC628" s="148"/>
      <c r="AD628" s="148"/>
      <c r="AE628" s="148"/>
      <c r="AF628" s="148"/>
      <c r="AG628" s="148"/>
      <c r="AH628" s="148"/>
      <c r="AI628" s="148"/>
      <c r="AJ628" s="148"/>
      <c r="AK628" s="148"/>
      <c r="AL628" s="148"/>
      <c r="AM628" s="148"/>
      <c r="AN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</row>
    <row r="629" spans="1:52" ht="0.75" customHeight="1" x14ac:dyDescent="0.45">
      <c r="A629" s="18">
        <v>44</v>
      </c>
      <c r="T629" s="148"/>
      <c r="U629" s="148"/>
      <c r="V629" s="148"/>
      <c r="W629" s="148"/>
      <c r="X629" s="148"/>
      <c r="Y629" s="148"/>
      <c r="Z629" s="148"/>
      <c r="AA629" s="148"/>
      <c r="AB629" s="148"/>
      <c r="AC629" s="148"/>
      <c r="AD629" s="148"/>
      <c r="AE629" s="148"/>
      <c r="AF629" s="148"/>
      <c r="AG629" s="148"/>
      <c r="AH629" s="148"/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</row>
    <row r="630" spans="1:52" ht="0.75" customHeight="1" x14ac:dyDescent="0.45">
      <c r="A630" s="18">
        <v>45</v>
      </c>
      <c r="T630" s="148"/>
      <c r="U630" s="148"/>
      <c r="V630" s="148"/>
      <c r="W630" s="148"/>
      <c r="X630" s="148"/>
      <c r="Y630" s="148"/>
      <c r="Z630" s="148"/>
      <c r="AA630" s="148"/>
      <c r="AB630" s="148"/>
      <c r="AC630" s="148"/>
      <c r="AD630" s="148"/>
      <c r="AE630" s="148"/>
      <c r="AF630" s="148"/>
      <c r="AG630" s="148"/>
      <c r="AH630" s="148"/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</row>
    <row r="631" spans="1:52" ht="0.75" customHeight="1" x14ac:dyDescent="0.45">
      <c r="A631" s="18">
        <v>46</v>
      </c>
      <c r="T631" s="148"/>
      <c r="U631" s="148"/>
      <c r="V631" s="148"/>
      <c r="W631" s="148"/>
      <c r="X631" s="148"/>
      <c r="Y631" s="148"/>
      <c r="Z631" s="148"/>
      <c r="AA631" s="148"/>
      <c r="AB631" s="148"/>
      <c r="AC631" s="148"/>
      <c r="AD631" s="148"/>
      <c r="AE631" s="148"/>
      <c r="AF631" s="148"/>
      <c r="AG631" s="148"/>
      <c r="AH631" s="148"/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</row>
    <row r="632" spans="1:52" ht="0.75" customHeight="1" x14ac:dyDescent="0.45">
      <c r="A632" s="18">
        <v>47</v>
      </c>
      <c r="T632" s="148"/>
      <c r="U632" s="148"/>
      <c r="V632" s="148"/>
      <c r="W632" s="148"/>
      <c r="X632" s="148"/>
      <c r="Y632" s="148"/>
      <c r="Z632" s="148"/>
      <c r="AA632" s="148"/>
      <c r="AB632" s="148"/>
      <c r="AC632" s="148"/>
      <c r="AD632" s="148"/>
      <c r="AE632" s="148"/>
      <c r="AF632" s="148"/>
      <c r="AG632" s="148"/>
      <c r="AH632" s="148"/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</row>
    <row r="633" spans="1:52" ht="0.75" customHeight="1" x14ac:dyDescent="0.45">
      <c r="A633" s="18">
        <v>48</v>
      </c>
      <c r="T633" s="148"/>
      <c r="U633" s="148"/>
      <c r="V633" s="148"/>
      <c r="W633" s="148"/>
      <c r="X633" s="148"/>
      <c r="Y633" s="148"/>
      <c r="Z633" s="148"/>
      <c r="AA633" s="148"/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</row>
    <row r="634" spans="1:52" ht="0.75" customHeight="1" x14ac:dyDescent="0.45">
      <c r="A634" s="18">
        <v>49</v>
      </c>
      <c r="T634" s="148"/>
      <c r="U634" s="148"/>
      <c r="V634" s="148"/>
      <c r="W634" s="148"/>
      <c r="X634" s="148"/>
      <c r="Y634" s="148"/>
      <c r="Z634" s="148"/>
      <c r="AA634" s="148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</row>
    <row r="635" spans="1:52" ht="0.75" customHeight="1" x14ac:dyDescent="0.45">
      <c r="A635" s="18">
        <v>50</v>
      </c>
      <c r="T635" s="148"/>
      <c r="U635" s="148"/>
      <c r="V635" s="148"/>
      <c r="W635" s="148"/>
      <c r="X635" s="148"/>
      <c r="Y635" s="148"/>
      <c r="Z635" s="148"/>
      <c r="AA635" s="148"/>
      <c r="AB635" s="148"/>
      <c r="AC635" s="148"/>
      <c r="AD635" s="148"/>
      <c r="AE635" s="148"/>
      <c r="AF635" s="148"/>
      <c r="AG635" s="148"/>
      <c r="AH635" s="148"/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</row>
    <row r="636" spans="1:52" x14ac:dyDescent="0.45">
      <c r="T636" s="148"/>
      <c r="U636" s="148"/>
      <c r="V636" s="148"/>
      <c r="W636" s="148"/>
      <c r="X636" s="148"/>
      <c r="Y636" s="148"/>
      <c r="Z636" s="148"/>
      <c r="AA636" s="148"/>
      <c r="AB636" s="148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</row>
    <row r="637" spans="1:52" x14ac:dyDescent="0.45">
      <c r="T637" s="148"/>
      <c r="U637" s="148"/>
      <c r="V637" s="148"/>
      <c r="W637" s="148"/>
      <c r="X637" s="148"/>
      <c r="Y637" s="148"/>
      <c r="Z637" s="148"/>
      <c r="AA637" s="148"/>
      <c r="AB637" s="148"/>
      <c r="AC637" s="148"/>
      <c r="AD637" s="148"/>
      <c r="AE637" s="148"/>
      <c r="AF637" s="148"/>
      <c r="AG637" s="148"/>
      <c r="AH637" s="148"/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</row>
    <row r="638" spans="1:52" x14ac:dyDescent="0.45">
      <c r="T638" s="148"/>
      <c r="U638" s="148"/>
      <c r="V638" s="148"/>
      <c r="W638" s="148"/>
      <c r="X638" s="148"/>
      <c r="Y638" s="148"/>
      <c r="Z638" s="148"/>
      <c r="AA638" s="148"/>
      <c r="AB638" s="148"/>
      <c r="AC638" s="148"/>
      <c r="AD638" s="148"/>
      <c r="AE638" s="148"/>
      <c r="AF638" s="148"/>
      <c r="AG638" s="148"/>
      <c r="AH638" s="148"/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</row>
    <row r="639" spans="1:52" x14ac:dyDescent="0.45">
      <c r="T639" s="148"/>
      <c r="U639" s="148"/>
      <c r="V639" s="148"/>
      <c r="W639" s="148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</row>
    <row r="640" spans="1:52" x14ac:dyDescent="0.45">
      <c r="T640" s="148"/>
      <c r="U640" s="148"/>
      <c r="V640" s="148"/>
      <c r="W640" s="148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</row>
    <row r="641" spans="20:52" x14ac:dyDescent="0.45">
      <c r="T641" s="148"/>
      <c r="U641" s="148"/>
      <c r="V641" s="148"/>
      <c r="W641" s="148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</row>
    <row r="642" spans="20:52" x14ac:dyDescent="0.45">
      <c r="T642" s="148"/>
      <c r="U642" s="148"/>
      <c r="V642" s="148"/>
      <c r="W642" s="148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/>
      <c r="AH642" s="148"/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</row>
    <row r="643" spans="20:52" x14ac:dyDescent="0.45">
      <c r="T643" s="148"/>
      <c r="U643" s="148"/>
      <c r="V643" s="148"/>
      <c r="W643" s="148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/>
      <c r="AH643" s="148"/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</row>
    <row r="644" spans="20:52" x14ac:dyDescent="0.45">
      <c r="T644" s="148"/>
      <c r="U644" s="148"/>
      <c r="V644" s="148"/>
      <c r="W644" s="148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/>
      <c r="AH644" s="148"/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</row>
    <row r="645" spans="20:52" x14ac:dyDescent="0.45">
      <c r="T645" s="148"/>
      <c r="U645" s="148"/>
      <c r="V645" s="148"/>
      <c r="W645" s="148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/>
      <c r="AH645" s="148"/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</row>
    <row r="646" spans="20:52" x14ac:dyDescent="0.45">
      <c r="T646" s="148"/>
      <c r="U646" s="148"/>
      <c r="V646" s="148"/>
      <c r="W646" s="148"/>
      <c r="X646" s="148"/>
      <c r="Y646" s="148"/>
      <c r="Z646" s="148"/>
      <c r="AA646" s="148"/>
      <c r="AB646" s="148"/>
      <c r="AC646" s="148"/>
      <c r="AD646" s="148"/>
      <c r="AE646" s="148"/>
      <c r="AF646" s="148"/>
      <c r="AG646" s="148"/>
      <c r="AH646" s="148"/>
      <c r="AI646" s="148"/>
      <c r="AJ646" s="148"/>
      <c r="AK646" s="148"/>
      <c r="AL646" s="148"/>
      <c r="AM646" s="148"/>
      <c r="AN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</row>
    <row r="647" spans="20:52" x14ac:dyDescent="0.45">
      <c r="T647" s="148"/>
      <c r="U647" s="148"/>
      <c r="V647" s="148"/>
      <c r="W647" s="148"/>
      <c r="X647" s="148"/>
      <c r="Y647" s="148"/>
      <c r="Z647" s="148"/>
      <c r="AA647" s="148"/>
      <c r="AB647" s="148"/>
      <c r="AC647" s="148"/>
      <c r="AD647" s="148"/>
      <c r="AE647" s="148"/>
      <c r="AF647" s="148"/>
      <c r="AG647" s="148"/>
      <c r="AH647" s="148"/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</row>
    <row r="648" spans="20:52" x14ac:dyDescent="0.45">
      <c r="T648" s="148"/>
      <c r="U648" s="148"/>
      <c r="V648" s="148"/>
      <c r="W648" s="148"/>
      <c r="X648" s="148"/>
      <c r="Y648" s="148"/>
      <c r="Z648" s="148"/>
      <c r="AA648" s="148"/>
      <c r="AB648" s="148"/>
      <c r="AC648" s="148"/>
      <c r="AD648" s="148"/>
      <c r="AE648" s="148"/>
      <c r="AF648" s="148"/>
      <c r="AG648" s="148"/>
      <c r="AH648" s="148"/>
      <c r="AI648" s="148"/>
      <c r="AJ648" s="148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</row>
    <row r="649" spans="20:52" x14ac:dyDescent="0.45">
      <c r="T649" s="148"/>
      <c r="U649" s="148"/>
      <c r="V649" s="148"/>
      <c r="W649" s="148"/>
      <c r="X649" s="148"/>
      <c r="Y649" s="148"/>
      <c r="Z649" s="148"/>
      <c r="AA649" s="148"/>
      <c r="AB649" s="148"/>
      <c r="AC649" s="148"/>
      <c r="AD649" s="148"/>
      <c r="AE649" s="148"/>
      <c r="AF649" s="148"/>
      <c r="AG649" s="148"/>
      <c r="AH649" s="148"/>
      <c r="AI649" s="148"/>
      <c r="AJ649" s="148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</row>
    <row r="650" spans="20:52" x14ac:dyDescent="0.45">
      <c r="T650" s="148"/>
      <c r="U650" s="148"/>
      <c r="V650" s="148"/>
      <c r="W650" s="148"/>
      <c r="X650" s="148"/>
      <c r="Y650" s="148"/>
      <c r="Z650" s="148"/>
      <c r="AA650" s="148"/>
      <c r="AB650" s="148"/>
      <c r="AC650" s="148"/>
      <c r="AD650" s="148"/>
      <c r="AE650" s="148"/>
      <c r="AF650" s="148"/>
      <c r="AG650" s="148"/>
      <c r="AH650" s="148"/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</row>
    <row r="651" spans="20:52" x14ac:dyDescent="0.45">
      <c r="T651" s="148"/>
      <c r="U651" s="148"/>
      <c r="V651" s="148"/>
      <c r="W651" s="148"/>
      <c r="X651" s="148"/>
      <c r="Y651" s="148"/>
      <c r="Z651" s="148"/>
      <c r="AA651" s="148"/>
      <c r="AB651" s="148"/>
      <c r="AC651" s="148"/>
      <c r="AD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</row>
    <row r="652" spans="20:52" x14ac:dyDescent="0.45">
      <c r="T652" s="148"/>
      <c r="U652" s="148"/>
      <c r="V652" s="148"/>
      <c r="W652" s="148"/>
      <c r="X652" s="148"/>
      <c r="Y652" s="148"/>
      <c r="Z652" s="148"/>
      <c r="AA652" s="148"/>
      <c r="AB652" s="148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</row>
    <row r="653" spans="20:52" x14ac:dyDescent="0.45">
      <c r="T653" s="148"/>
      <c r="U653" s="148"/>
      <c r="V653" s="148"/>
      <c r="W653" s="148"/>
      <c r="X653" s="148"/>
      <c r="Y653" s="148"/>
      <c r="Z653" s="148"/>
      <c r="AA653" s="148"/>
      <c r="AB653" s="148"/>
      <c r="AC653" s="148"/>
      <c r="AD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</row>
    <row r="654" spans="20:52" x14ac:dyDescent="0.45">
      <c r="T654" s="148"/>
      <c r="U654" s="148"/>
      <c r="V654" s="148"/>
      <c r="W654" s="148"/>
      <c r="X654" s="148"/>
      <c r="Y654" s="148"/>
      <c r="Z654" s="148"/>
      <c r="AA654" s="148"/>
      <c r="AB654" s="148"/>
      <c r="AC654" s="148"/>
      <c r="AD654" s="148"/>
      <c r="AE654" s="148"/>
      <c r="AF654" s="148"/>
      <c r="AG654" s="148"/>
      <c r="AH654" s="148"/>
      <c r="AI654" s="148"/>
      <c r="AJ654" s="148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</row>
    <row r="655" spans="20:52" x14ac:dyDescent="0.45">
      <c r="T655" s="148"/>
      <c r="U655" s="148"/>
      <c r="V655" s="148"/>
      <c r="W655" s="148"/>
      <c r="X655" s="148"/>
      <c r="Y655" s="148"/>
      <c r="Z655" s="148"/>
      <c r="AA655" s="148"/>
      <c r="AB655" s="148"/>
      <c r="AC655" s="148"/>
      <c r="AD655" s="148"/>
      <c r="AE655" s="148"/>
      <c r="AF655" s="148"/>
      <c r="AG655" s="148"/>
      <c r="AH655" s="148"/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</row>
    <row r="656" spans="20:52" x14ac:dyDescent="0.45">
      <c r="T656" s="148"/>
      <c r="U656" s="148"/>
      <c r="V656" s="148"/>
      <c r="W656" s="148"/>
      <c r="X656" s="148"/>
      <c r="Y656" s="148"/>
      <c r="Z656" s="148"/>
      <c r="AA656" s="148"/>
      <c r="AB656" s="148"/>
      <c r="AC656" s="148"/>
      <c r="AD656" s="148"/>
      <c r="AE656" s="148"/>
      <c r="AF656" s="148"/>
      <c r="AG656" s="148"/>
      <c r="AH656" s="148"/>
      <c r="AI656" s="148"/>
      <c r="AJ656" s="148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</row>
    <row r="657" spans="20:52" x14ac:dyDescent="0.45">
      <c r="T657" s="148"/>
      <c r="U657" s="148"/>
      <c r="V657" s="148"/>
      <c r="W657" s="148"/>
      <c r="X657" s="148"/>
      <c r="Y657" s="148"/>
      <c r="Z657" s="148"/>
      <c r="AA657" s="148"/>
      <c r="AB657" s="148"/>
      <c r="AC657" s="148"/>
      <c r="AD657" s="148"/>
      <c r="AE657" s="148"/>
      <c r="AF657" s="148"/>
      <c r="AG657" s="148"/>
      <c r="AH657" s="148"/>
      <c r="AI657" s="148"/>
      <c r="AJ657" s="148"/>
      <c r="AK657" s="148"/>
      <c r="AL657" s="148"/>
      <c r="AM657" s="148"/>
      <c r="AN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</row>
    <row r="658" spans="20:52" x14ac:dyDescent="0.45">
      <c r="T658" s="148"/>
      <c r="U658" s="148"/>
      <c r="V658" s="148"/>
      <c r="W658" s="148"/>
      <c r="X658" s="148"/>
      <c r="Y658" s="148"/>
      <c r="Z658" s="148"/>
      <c r="AA658" s="148"/>
      <c r="AB658" s="148"/>
      <c r="AC658" s="148"/>
      <c r="AD658" s="148"/>
      <c r="AE658" s="148"/>
      <c r="AF658" s="148"/>
      <c r="AG658" s="148"/>
      <c r="AH658" s="148"/>
      <c r="AI658" s="148"/>
      <c r="AJ658" s="148"/>
      <c r="AK658" s="148"/>
      <c r="AL658" s="148"/>
      <c r="AM658" s="148"/>
      <c r="AN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</row>
    <row r="659" spans="20:52" x14ac:dyDescent="0.45">
      <c r="T659" s="148"/>
      <c r="U659" s="148"/>
      <c r="V659" s="148"/>
      <c r="W659" s="148"/>
      <c r="X659" s="148"/>
      <c r="Y659" s="148"/>
      <c r="Z659" s="148"/>
      <c r="AA659" s="148"/>
      <c r="AB659" s="148"/>
      <c r="AC659" s="148"/>
      <c r="AD659" s="148"/>
      <c r="AE659" s="148"/>
      <c r="AF659" s="148"/>
      <c r="AG659" s="148"/>
      <c r="AH659" s="148"/>
      <c r="AI659" s="148"/>
      <c r="AJ659" s="148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</row>
    <row r="660" spans="20:52" x14ac:dyDescent="0.45">
      <c r="T660" s="148"/>
      <c r="U660" s="148"/>
      <c r="V660" s="148"/>
      <c r="W660" s="148"/>
      <c r="X660" s="148"/>
      <c r="Y660" s="148"/>
      <c r="Z660" s="148"/>
      <c r="AA660" s="148"/>
      <c r="AB660" s="148"/>
      <c r="AC660" s="148"/>
      <c r="AD660" s="148"/>
      <c r="AE660" s="148"/>
      <c r="AF660" s="148"/>
      <c r="AG660" s="148"/>
      <c r="AH660" s="148"/>
      <c r="AI660" s="148"/>
      <c r="AJ660" s="148"/>
      <c r="AK660" s="148"/>
      <c r="AL660" s="148"/>
      <c r="AM660" s="148"/>
      <c r="AN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</row>
    <row r="661" spans="20:52" x14ac:dyDescent="0.45">
      <c r="T661" s="148"/>
      <c r="U661" s="148"/>
      <c r="V661" s="148"/>
      <c r="W661" s="148"/>
      <c r="X661" s="148"/>
      <c r="Y661" s="148"/>
      <c r="Z661" s="148"/>
      <c r="AA661" s="148"/>
      <c r="AB661" s="148"/>
      <c r="AC661" s="148"/>
      <c r="AD661" s="148"/>
      <c r="AE661" s="148"/>
      <c r="AF661" s="148"/>
      <c r="AG661" s="148"/>
      <c r="AH661" s="148"/>
      <c r="AI661" s="148"/>
      <c r="AJ661" s="148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</row>
    <row r="662" spans="20:52" x14ac:dyDescent="0.45">
      <c r="T662" s="148"/>
      <c r="U662" s="148"/>
      <c r="V662" s="148"/>
      <c r="W662" s="148"/>
      <c r="X662" s="148"/>
      <c r="Y662" s="148"/>
      <c r="Z662" s="148"/>
      <c r="AA662" s="148"/>
      <c r="AB662" s="148"/>
      <c r="AC662" s="148"/>
      <c r="AD662" s="148"/>
      <c r="AE662" s="148"/>
      <c r="AF662" s="148"/>
      <c r="AG662" s="148"/>
      <c r="AH662" s="148"/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</row>
    <row r="663" spans="20:52" x14ac:dyDescent="0.45">
      <c r="T663" s="148"/>
      <c r="U663" s="148"/>
      <c r="V663" s="148"/>
      <c r="W663" s="14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</row>
    <row r="664" spans="20:52" x14ac:dyDescent="0.45">
      <c r="T664" s="148"/>
      <c r="U664" s="148"/>
      <c r="V664" s="148"/>
      <c r="W664" s="14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</row>
    <row r="665" spans="20:52" x14ac:dyDescent="0.45">
      <c r="T665" s="148"/>
      <c r="U665" s="148"/>
      <c r="V665" s="148"/>
      <c r="W665" s="14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</row>
    <row r="666" spans="20:52" x14ac:dyDescent="0.45">
      <c r="T666" s="148"/>
      <c r="U666" s="148"/>
      <c r="V666" s="148"/>
      <c r="W666" s="14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</row>
    <row r="667" spans="20:52" x14ac:dyDescent="0.45">
      <c r="T667" s="148"/>
      <c r="U667" s="148"/>
      <c r="V667" s="148"/>
      <c r="W667" s="14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</row>
    <row r="668" spans="20:52" x14ac:dyDescent="0.45">
      <c r="T668" s="148"/>
      <c r="U668" s="148"/>
      <c r="V668" s="148"/>
      <c r="W668" s="14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</row>
    <row r="669" spans="20:52" x14ac:dyDescent="0.45">
      <c r="T669" s="148"/>
      <c r="U669" s="148"/>
      <c r="V669" s="148"/>
      <c r="W669" s="14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</row>
    <row r="670" spans="20:52" x14ac:dyDescent="0.45">
      <c r="T670" s="148"/>
      <c r="U670" s="148"/>
      <c r="V670" s="148"/>
      <c r="W670" s="14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</row>
    <row r="671" spans="20:52" x14ac:dyDescent="0.45">
      <c r="T671" s="148"/>
      <c r="U671" s="148"/>
      <c r="V671" s="148"/>
      <c r="W671" s="148"/>
      <c r="X671" s="148"/>
      <c r="Y671" s="148"/>
      <c r="Z671" s="148"/>
      <c r="AA671" s="148"/>
      <c r="AB671" s="148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</row>
    <row r="672" spans="20:52" x14ac:dyDescent="0.45">
      <c r="T672" s="148"/>
      <c r="U672" s="148"/>
      <c r="V672" s="148"/>
      <c r="W672" s="148"/>
      <c r="X672" s="148"/>
      <c r="Y672" s="148"/>
      <c r="Z672" s="148"/>
      <c r="AA672" s="148"/>
      <c r="AB672" s="148"/>
      <c r="AC672" s="148"/>
      <c r="AD672" s="148"/>
      <c r="AE672" s="148"/>
      <c r="AF672" s="148"/>
      <c r="AG672" s="148"/>
      <c r="AH672" s="148"/>
      <c r="AI672" s="148"/>
      <c r="AJ672" s="148"/>
      <c r="AK672" s="148"/>
      <c r="AL672" s="148"/>
      <c r="AM672" s="148"/>
      <c r="AN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</row>
    <row r="673" spans="20:52" x14ac:dyDescent="0.45">
      <c r="T673" s="148"/>
      <c r="U673" s="148"/>
      <c r="V673" s="148"/>
      <c r="W673" s="148"/>
      <c r="X673" s="148"/>
      <c r="Y673" s="148"/>
      <c r="Z673" s="148"/>
      <c r="AA673" s="148"/>
      <c r="AB673" s="148"/>
      <c r="AC673" s="148"/>
      <c r="AD673" s="148"/>
      <c r="AE673" s="148"/>
      <c r="AF673" s="148"/>
      <c r="AG673" s="148"/>
      <c r="AH673" s="148"/>
      <c r="AI673" s="148"/>
      <c r="AJ673" s="148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</row>
    <row r="674" spans="20:52" x14ac:dyDescent="0.45">
      <c r="T674" s="148"/>
      <c r="U674" s="148"/>
      <c r="V674" s="148"/>
      <c r="W674" s="148"/>
      <c r="X674" s="148"/>
      <c r="Y674" s="148"/>
      <c r="Z674" s="148"/>
      <c r="AA674" s="148"/>
      <c r="AB674" s="148"/>
      <c r="AC674" s="148"/>
      <c r="AD674" s="148"/>
      <c r="AE674" s="148"/>
      <c r="AF674" s="148"/>
      <c r="AG674" s="148"/>
      <c r="AH674" s="148"/>
      <c r="AI674" s="148"/>
      <c r="AJ674" s="148"/>
      <c r="AK674" s="148"/>
      <c r="AL674" s="148"/>
      <c r="AM674" s="148"/>
      <c r="AN674" s="148"/>
      <c r="AO674" s="148"/>
      <c r="AP674" s="148"/>
      <c r="AQ674" s="148"/>
      <c r="AR674" s="148"/>
      <c r="AS674" s="148"/>
      <c r="AT674" s="148"/>
      <c r="AU674" s="148"/>
      <c r="AV674" s="148"/>
      <c r="AW674" s="148"/>
      <c r="AX674" s="148"/>
      <c r="AY674" s="148"/>
      <c r="AZ674" s="148"/>
    </row>
    <row r="675" spans="20:52" x14ac:dyDescent="0.45">
      <c r="T675" s="148"/>
      <c r="U675" s="148"/>
      <c r="V675" s="148"/>
      <c r="W675" s="148"/>
      <c r="X675" s="148"/>
      <c r="Y675" s="148"/>
      <c r="Z675" s="148"/>
      <c r="AA675" s="148"/>
      <c r="AB675" s="148"/>
      <c r="AC675" s="148"/>
      <c r="AD675" s="148"/>
      <c r="AE675" s="148"/>
      <c r="AF675" s="148"/>
      <c r="AG675" s="148"/>
      <c r="AH675" s="148"/>
      <c r="AI675" s="148"/>
      <c r="AJ675" s="148"/>
      <c r="AK675" s="148"/>
      <c r="AL675" s="148"/>
      <c r="AM675" s="148"/>
      <c r="AN675" s="148"/>
      <c r="AO675" s="148"/>
      <c r="AP675" s="148"/>
      <c r="AQ675" s="148"/>
      <c r="AR675" s="148"/>
      <c r="AS675" s="148"/>
      <c r="AT675" s="148"/>
      <c r="AU675" s="148"/>
      <c r="AV675" s="148"/>
      <c r="AW675" s="148"/>
      <c r="AX675" s="148"/>
      <c r="AY675" s="148"/>
      <c r="AZ675" s="148"/>
    </row>
    <row r="676" spans="20:52" x14ac:dyDescent="0.45">
      <c r="T676" s="148"/>
      <c r="U676" s="148"/>
      <c r="V676" s="148"/>
      <c r="W676" s="148"/>
      <c r="X676" s="148"/>
      <c r="Y676" s="148"/>
      <c r="Z676" s="148"/>
      <c r="AA676" s="148"/>
      <c r="AB676" s="148"/>
      <c r="AC676" s="148"/>
      <c r="AD676" s="148"/>
      <c r="AE676" s="148"/>
      <c r="AF676" s="148"/>
      <c r="AG676" s="148"/>
      <c r="AH676" s="148"/>
      <c r="AI676" s="148"/>
      <c r="AJ676" s="148"/>
      <c r="AK676" s="148"/>
      <c r="AL676" s="148"/>
      <c r="AM676" s="148"/>
      <c r="AN676" s="148"/>
      <c r="AO676" s="148"/>
      <c r="AP676" s="148"/>
      <c r="AQ676" s="148"/>
      <c r="AR676" s="148"/>
      <c r="AS676" s="148"/>
      <c r="AT676" s="148"/>
      <c r="AU676" s="148"/>
      <c r="AV676" s="148"/>
      <c r="AW676" s="148"/>
      <c r="AX676" s="148"/>
      <c r="AY676" s="148"/>
      <c r="AZ676" s="148"/>
    </row>
    <row r="677" spans="20:52" x14ac:dyDescent="0.45">
      <c r="T677" s="148"/>
      <c r="U677" s="148"/>
      <c r="V677" s="148"/>
      <c r="W677" s="148"/>
      <c r="X677" s="148"/>
      <c r="Y677" s="148"/>
      <c r="Z677" s="148"/>
      <c r="AA677" s="148"/>
      <c r="AB677" s="148"/>
      <c r="AC677" s="148"/>
      <c r="AD677" s="148"/>
      <c r="AE677" s="148"/>
      <c r="AF677" s="148"/>
      <c r="AG677" s="148"/>
      <c r="AH677" s="148"/>
      <c r="AI677" s="148"/>
      <c r="AJ677" s="148"/>
      <c r="AK677" s="148"/>
      <c r="AL677" s="148"/>
      <c r="AM677" s="148"/>
      <c r="AN677" s="148"/>
      <c r="AO677" s="148"/>
      <c r="AP677" s="148"/>
      <c r="AQ677" s="148"/>
      <c r="AR677" s="148"/>
      <c r="AS677" s="148"/>
      <c r="AT677" s="148"/>
      <c r="AU677" s="148"/>
      <c r="AV677" s="148"/>
      <c r="AW677" s="148"/>
      <c r="AX677" s="148"/>
      <c r="AY677" s="148"/>
      <c r="AZ677" s="148"/>
    </row>
    <row r="678" spans="20:52" x14ac:dyDescent="0.45">
      <c r="T678" s="148"/>
      <c r="U678" s="148"/>
      <c r="V678" s="148"/>
      <c r="W678" s="148"/>
      <c r="X678" s="148"/>
      <c r="Y678" s="148"/>
      <c r="Z678" s="148"/>
      <c r="AA678" s="148"/>
      <c r="AB678" s="148"/>
      <c r="AC678" s="148"/>
      <c r="AD678" s="148"/>
      <c r="AE678" s="148"/>
      <c r="AF678" s="148"/>
      <c r="AG678" s="148"/>
      <c r="AH678" s="148"/>
      <c r="AI678" s="148"/>
      <c r="AJ678" s="148"/>
      <c r="AK678" s="148"/>
      <c r="AL678" s="148"/>
      <c r="AM678" s="148"/>
      <c r="AN678" s="148"/>
      <c r="AO678" s="148"/>
      <c r="AP678" s="148"/>
      <c r="AQ678" s="148"/>
      <c r="AR678" s="148"/>
      <c r="AS678" s="148"/>
      <c r="AT678" s="148"/>
      <c r="AU678" s="148"/>
      <c r="AV678" s="148"/>
      <c r="AW678" s="148"/>
      <c r="AX678" s="148"/>
      <c r="AY678" s="148"/>
      <c r="AZ678" s="148"/>
    </row>
    <row r="679" spans="20:52" x14ac:dyDescent="0.45">
      <c r="T679" s="148"/>
      <c r="U679" s="148"/>
      <c r="V679" s="148"/>
      <c r="W679" s="148"/>
      <c r="X679" s="148"/>
      <c r="Y679" s="148"/>
      <c r="Z679" s="148"/>
      <c r="AA679" s="148"/>
      <c r="AB679" s="148"/>
      <c r="AC679" s="148"/>
      <c r="AD679" s="148"/>
      <c r="AE679" s="148"/>
      <c r="AF679" s="148"/>
      <c r="AG679" s="148"/>
      <c r="AH679" s="148"/>
      <c r="AI679" s="148"/>
      <c r="AJ679" s="148"/>
      <c r="AK679" s="148"/>
      <c r="AL679" s="148"/>
      <c r="AM679" s="148"/>
      <c r="AN679" s="148"/>
      <c r="AO679" s="148"/>
      <c r="AP679" s="148"/>
      <c r="AQ679" s="148"/>
      <c r="AR679" s="148"/>
      <c r="AS679" s="148"/>
      <c r="AT679" s="148"/>
      <c r="AU679" s="148"/>
      <c r="AV679" s="148"/>
      <c r="AW679" s="148"/>
      <c r="AX679" s="148"/>
      <c r="AY679" s="148"/>
      <c r="AZ679" s="148"/>
    </row>
    <row r="680" spans="20:52" x14ac:dyDescent="0.45">
      <c r="T680" s="148"/>
      <c r="U680" s="148"/>
      <c r="V680" s="148"/>
      <c r="W680" s="148"/>
      <c r="X680" s="148"/>
      <c r="Y680" s="148"/>
      <c r="Z680" s="148"/>
      <c r="AA680" s="148"/>
      <c r="AB680" s="148"/>
      <c r="AC680" s="148"/>
      <c r="AD680" s="148"/>
      <c r="AE680" s="148"/>
      <c r="AF680" s="148"/>
      <c r="AG680" s="148"/>
      <c r="AH680" s="148"/>
      <c r="AI680" s="148"/>
      <c r="AJ680" s="148"/>
      <c r="AK680" s="148"/>
      <c r="AL680" s="148"/>
      <c r="AM680" s="148"/>
      <c r="AN680" s="148"/>
      <c r="AO680" s="148"/>
      <c r="AP680" s="148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</row>
    <row r="681" spans="20:52" x14ac:dyDescent="0.45">
      <c r="T681" s="148"/>
      <c r="U681" s="148"/>
      <c r="V681" s="148"/>
      <c r="W681" s="148"/>
      <c r="X681" s="148"/>
      <c r="Y681" s="148"/>
      <c r="Z681" s="148"/>
      <c r="AA681" s="148"/>
      <c r="AB681" s="148"/>
      <c r="AC681" s="148"/>
      <c r="AD681" s="148"/>
      <c r="AE681" s="148"/>
      <c r="AF681" s="148"/>
      <c r="AG681" s="148"/>
      <c r="AH681" s="148"/>
      <c r="AI681" s="148"/>
      <c r="AJ681" s="148"/>
      <c r="AK681" s="148"/>
      <c r="AL681" s="148"/>
      <c r="AM681" s="148"/>
      <c r="AN681" s="148"/>
      <c r="AO681" s="148"/>
      <c r="AP681" s="148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</row>
    <row r="682" spans="20:52" x14ac:dyDescent="0.45">
      <c r="T682" s="148"/>
      <c r="U682" s="148"/>
      <c r="V682" s="148"/>
      <c r="W682" s="148"/>
      <c r="X682" s="148"/>
      <c r="Y682" s="148"/>
      <c r="Z682" s="148"/>
      <c r="AA682" s="148"/>
      <c r="AB682" s="148"/>
      <c r="AC682" s="148"/>
      <c r="AD682" s="148"/>
      <c r="AE682" s="148"/>
      <c r="AF682" s="148"/>
      <c r="AG682" s="148"/>
      <c r="AH682" s="148"/>
      <c r="AI682" s="148"/>
      <c r="AJ682" s="148"/>
      <c r="AK682" s="148"/>
      <c r="AL682" s="148"/>
      <c r="AM682" s="148"/>
      <c r="AN682" s="148"/>
      <c r="AO682" s="148"/>
      <c r="AP682" s="148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</row>
    <row r="683" spans="20:52" x14ac:dyDescent="0.45">
      <c r="T683" s="148"/>
      <c r="U683" s="148"/>
      <c r="V683" s="148"/>
      <c r="W683" s="148"/>
      <c r="X683" s="148"/>
      <c r="Y683" s="148"/>
      <c r="Z683" s="148"/>
      <c r="AA683" s="148"/>
      <c r="AB683" s="148"/>
      <c r="AC683" s="148"/>
      <c r="AD683" s="148"/>
      <c r="AE683" s="148"/>
      <c r="AF683" s="148"/>
      <c r="AG683" s="148"/>
      <c r="AH683" s="148"/>
      <c r="AI683" s="148"/>
      <c r="AJ683" s="148"/>
      <c r="AK683" s="148"/>
      <c r="AL683" s="148"/>
      <c r="AM683" s="148"/>
      <c r="AN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</row>
    <row r="684" spans="20:52" x14ac:dyDescent="0.45">
      <c r="T684" s="148"/>
      <c r="U684" s="148"/>
      <c r="V684" s="148"/>
      <c r="W684" s="148"/>
      <c r="X684" s="148"/>
      <c r="Y684" s="148"/>
      <c r="Z684" s="148"/>
      <c r="AA684" s="148"/>
      <c r="AB684" s="148"/>
      <c r="AC684" s="148"/>
      <c r="AD684" s="148"/>
      <c r="AE684" s="148"/>
      <c r="AF684" s="148"/>
      <c r="AG684" s="148"/>
      <c r="AH684" s="148"/>
      <c r="AI684" s="148"/>
      <c r="AJ684" s="148"/>
      <c r="AK684" s="148"/>
      <c r="AL684" s="148"/>
      <c r="AM684" s="148"/>
      <c r="AN684" s="148"/>
      <c r="AO684" s="148"/>
      <c r="AP684" s="148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</row>
    <row r="685" spans="20:52" x14ac:dyDescent="0.45">
      <c r="T685" s="148"/>
      <c r="U685" s="148"/>
      <c r="V685" s="148"/>
      <c r="W685" s="148"/>
      <c r="X685" s="148"/>
      <c r="Y685" s="148"/>
      <c r="Z685" s="148"/>
      <c r="AA685" s="148"/>
      <c r="AB685" s="148"/>
      <c r="AC685" s="148"/>
      <c r="AD685" s="148"/>
      <c r="AE685" s="148"/>
      <c r="AF685" s="148"/>
      <c r="AG685" s="148"/>
      <c r="AH685" s="148"/>
      <c r="AI685" s="148"/>
      <c r="AJ685" s="148"/>
      <c r="AK685" s="148"/>
      <c r="AL685" s="148"/>
      <c r="AM685" s="148"/>
      <c r="AN685" s="148"/>
      <c r="AO685" s="148"/>
      <c r="AP685" s="148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</row>
    <row r="686" spans="20:52" x14ac:dyDescent="0.45">
      <c r="T686" s="148"/>
      <c r="U686" s="148"/>
      <c r="V686" s="148"/>
      <c r="W686" s="148"/>
      <c r="X686" s="148"/>
      <c r="Y686" s="148"/>
      <c r="Z686" s="148"/>
      <c r="AA686" s="148"/>
      <c r="AB686" s="148"/>
      <c r="AC686" s="148"/>
      <c r="AD686" s="148"/>
      <c r="AE686" s="148"/>
      <c r="AF686" s="148"/>
      <c r="AG686" s="148"/>
      <c r="AH686" s="148"/>
      <c r="AI686" s="148"/>
      <c r="AJ686" s="148"/>
      <c r="AK686" s="148"/>
      <c r="AL686" s="148"/>
      <c r="AM686" s="148"/>
      <c r="AN686" s="148"/>
      <c r="AO686" s="148"/>
      <c r="AP686" s="148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</row>
    <row r="687" spans="20:52" x14ac:dyDescent="0.45">
      <c r="T687" s="148"/>
      <c r="U687" s="148"/>
      <c r="V687" s="148"/>
      <c r="W687" s="148"/>
      <c r="X687" s="148"/>
      <c r="Y687" s="148"/>
      <c r="Z687" s="148"/>
      <c r="AA687" s="148"/>
      <c r="AB687" s="148"/>
      <c r="AC687" s="148"/>
      <c r="AD687" s="148"/>
      <c r="AE687" s="148"/>
      <c r="AF687" s="148"/>
      <c r="AG687" s="148"/>
      <c r="AH687" s="148"/>
      <c r="AI687" s="148"/>
      <c r="AJ687" s="148"/>
      <c r="AK687" s="148"/>
      <c r="AL687" s="148"/>
      <c r="AM687" s="148"/>
      <c r="AN687" s="148"/>
      <c r="AO687" s="148"/>
      <c r="AP687" s="148"/>
      <c r="AQ687" s="148"/>
      <c r="AR687" s="148"/>
      <c r="AS687" s="148"/>
      <c r="AT687" s="148"/>
      <c r="AU687" s="148"/>
      <c r="AV687" s="148"/>
      <c r="AW687" s="148"/>
      <c r="AX687" s="148"/>
      <c r="AY687" s="148"/>
      <c r="AZ687" s="148"/>
    </row>
    <row r="688" spans="20:52" x14ac:dyDescent="0.45">
      <c r="T688" s="148"/>
      <c r="U688" s="148"/>
      <c r="V688" s="148"/>
      <c r="W688" s="148"/>
      <c r="X688" s="148"/>
      <c r="Y688" s="148"/>
      <c r="Z688" s="148"/>
      <c r="AA688" s="148"/>
      <c r="AB688" s="148"/>
      <c r="AC688" s="148"/>
      <c r="AD688" s="148"/>
      <c r="AE688" s="148"/>
      <c r="AF688" s="148"/>
      <c r="AG688" s="148"/>
      <c r="AH688" s="148"/>
      <c r="AI688" s="148"/>
      <c r="AJ688" s="148"/>
      <c r="AK688" s="148"/>
      <c r="AL688" s="148"/>
      <c r="AM688" s="148"/>
      <c r="AN688" s="148"/>
      <c r="AO688" s="148"/>
      <c r="AP688" s="148"/>
      <c r="AQ688" s="148"/>
      <c r="AR688" s="148"/>
      <c r="AS688" s="148"/>
      <c r="AT688" s="148"/>
      <c r="AU688" s="148"/>
      <c r="AV688" s="148"/>
      <c r="AW688" s="148"/>
      <c r="AX688" s="148"/>
      <c r="AY688" s="148"/>
      <c r="AZ688" s="148"/>
    </row>
    <row r="689" spans="20:52" x14ac:dyDescent="0.45">
      <c r="T689" s="148"/>
      <c r="U689" s="148"/>
      <c r="V689" s="148"/>
      <c r="W689" s="148"/>
      <c r="X689" s="148"/>
      <c r="Y689" s="148"/>
      <c r="Z689" s="148"/>
      <c r="AA689" s="148"/>
      <c r="AB689" s="148"/>
      <c r="AC689" s="148"/>
      <c r="AD689" s="148"/>
      <c r="AE689" s="148"/>
      <c r="AF689" s="148"/>
      <c r="AG689" s="148"/>
      <c r="AH689" s="148"/>
      <c r="AI689" s="148"/>
      <c r="AJ689" s="148"/>
      <c r="AK689" s="148"/>
      <c r="AL689" s="148"/>
      <c r="AM689" s="148"/>
      <c r="AN689" s="148"/>
      <c r="AO689" s="148"/>
      <c r="AP689" s="148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</row>
    <row r="690" spans="20:52" x14ac:dyDescent="0.45">
      <c r="T690" s="148"/>
      <c r="U690" s="148"/>
      <c r="V690" s="148"/>
      <c r="W690" s="148"/>
      <c r="X690" s="148"/>
      <c r="Y690" s="148"/>
      <c r="Z690" s="148"/>
      <c r="AA690" s="148"/>
      <c r="AB690" s="148"/>
      <c r="AC690" s="148"/>
      <c r="AD690" s="148"/>
      <c r="AE690" s="148"/>
      <c r="AF690" s="148"/>
      <c r="AG690" s="148"/>
      <c r="AH690" s="148"/>
      <c r="AI690" s="148"/>
      <c r="AJ690" s="148"/>
      <c r="AK690" s="148"/>
      <c r="AL690" s="148"/>
      <c r="AM690" s="148"/>
      <c r="AN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</row>
    <row r="691" spans="20:52" x14ac:dyDescent="0.45">
      <c r="T691" s="148"/>
      <c r="U691" s="148"/>
      <c r="V691" s="148"/>
      <c r="W691" s="148"/>
      <c r="X691" s="148"/>
      <c r="Y691" s="148"/>
      <c r="Z691" s="148"/>
      <c r="AA691" s="148"/>
      <c r="AB691" s="148"/>
      <c r="AC691" s="148"/>
      <c r="AD691" s="148"/>
      <c r="AE691" s="148"/>
      <c r="AF691" s="148"/>
      <c r="AG691" s="148"/>
      <c r="AH691" s="148"/>
      <c r="AI691" s="148"/>
      <c r="AJ691" s="148"/>
      <c r="AK691" s="148"/>
      <c r="AL691" s="148"/>
      <c r="AM691" s="148"/>
      <c r="AN691" s="148"/>
      <c r="AO691" s="148"/>
      <c r="AP691" s="148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</row>
    <row r="692" spans="20:52" x14ac:dyDescent="0.45">
      <c r="T692" s="148"/>
      <c r="U692" s="148"/>
      <c r="V692" s="148"/>
      <c r="W692" s="148"/>
      <c r="X692" s="148"/>
      <c r="Y692" s="148"/>
      <c r="Z692" s="148"/>
      <c r="AA692" s="148"/>
      <c r="AB692" s="148"/>
      <c r="AC692" s="148"/>
      <c r="AD692" s="148"/>
      <c r="AE692" s="148"/>
      <c r="AF692" s="148"/>
      <c r="AG692" s="148"/>
      <c r="AH692" s="148"/>
      <c r="AI692" s="148"/>
      <c r="AJ692" s="148"/>
      <c r="AK692" s="148"/>
      <c r="AL692" s="148"/>
      <c r="AM692" s="148"/>
      <c r="AN692" s="148"/>
      <c r="AO692" s="148"/>
      <c r="AP692" s="148"/>
      <c r="AQ692" s="148"/>
      <c r="AR692" s="148"/>
      <c r="AS692" s="148"/>
      <c r="AT692" s="148"/>
      <c r="AU692" s="148"/>
      <c r="AV692" s="148"/>
      <c r="AW692" s="148"/>
      <c r="AX692" s="148"/>
      <c r="AY692" s="148"/>
      <c r="AZ692" s="148"/>
    </row>
    <row r="693" spans="20:52" x14ac:dyDescent="0.45">
      <c r="T693" s="148"/>
      <c r="U693" s="148"/>
      <c r="V693" s="148"/>
      <c r="W693" s="148"/>
      <c r="X693" s="148"/>
      <c r="Y693" s="148"/>
      <c r="Z693" s="148"/>
      <c r="AA693" s="148"/>
      <c r="AB693" s="148"/>
      <c r="AC693" s="148"/>
      <c r="AD693" s="148"/>
      <c r="AE693" s="148"/>
      <c r="AF693" s="148"/>
      <c r="AG693" s="148"/>
      <c r="AH693" s="148"/>
      <c r="AI693" s="148"/>
      <c r="AJ693" s="148"/>
      <c r="AK693" s="148"/>
      <c r="AL693" s="148"/>
      <c r="AM693" s="148"/>
      <c r="AN693" s="148"/>
      <c r="AO693" s="148"/>
      <c r="AP693" s="148"/>
      <c r="AQ693" s="148"/>
      <c r="AR693" s="148"/>
      <c r="AS693" s="148"/>
      <c r="AT693" s="148"/>
      <c r="AU693" s="148"/>
      <c r="AV693" s="148"/>
      <c r="AW693" s="148"/>
      <c r="AX693" s="148"/>
      <c r="AY693" s="148"/>
      <c r="AZ693" s="148"/>
    </row>
    <row r="694" spans="20:52" x14ac:dyDescent="0.45">
      <c r="T694" s="148"/>
      <c r="U694" s="148"/>
      <c r="V694" s="148"/>
      <c r="W694" s="148"/>
      <c r="X694" s="148"/>
      <c r="Y694" s="148"/>
      <c r="Z694" s="148"/>
      <c r="AA694" s="148"/>
      <c r="AB694" s="148"/>
      <c r="AC694" s="148"/>
      <c r="AD694" s="148"/>
      <c r="AE694" s="148"/>
      <c r="AF694" s="148"/>
      <c r="AG694" s="148"/>
      <c r="AH694" s="148"/>
      <c r="AI694" s="148"/>
      <c r="AJ694" s="148"/>
      <c r="AK694" s="148"/>
      <c r="AL694" s="148"/>
      <c r="AM694" s="148"/>
      <c r="AN694" s="148"/>
      <c r="AO694" s="148"/>
      <c r="AP694" s="148"/>
      <c r="AQ694" s="148"/>
      <c r="AR694" s="148"/>
      <c r="AS694" s="148"/>
      <c r="AT694" s="148"/>
      <c r="AU694" s="148"/>
      <c r="AV694" s="148"/>
      <c r="AW694" s="148"/>
      <c r="AX694" s="148"/>
      <c r="AY694" s="148"/>
      <c r="AZ694" s="148"/>
    </row>
    <row r="695" spans="20:52" x14ac:dyDescent="0.45">
      <c r="T695" s="148"/>
      <c r="U695" s="148"/>
      <c r="V695" s="148"/>
      <c r="W695" s="148"/>
      <c r="X695" s="148"/>
      <c r="Y695" s="148"/>
      <c r="Z695" s="148"/>
      <c r="AA695" s="148"/>
      <c r="AB695" s="148"/>
      <c r="AC695" s="148"/>
      <c r="AD695" s="148"/>
      <c r="AE695" s="148"/>
      <c r="AF695" s="148"/>
      <c r="AG695" s="148"/>
      <c r="AH695" s="148"/>
      <c r="AI695" s="148"/>
      <c r="AJ695" s="148"/>
      <c r="AK695" s="148"/>
      <c r="AL695" s="148"/>
      <c r="AM695" s="148"/>
      <c r="AN695" s="148"/>
      <c r="AO695" s="148"/>
      <c r="AP695" s="148"/>
      <c r="AQ695" s="148"/>
      <c r="AR695" s="148"/>
      <c r="AS695" s="148"/>
      <c r="AT695" s="148"/>
      <c r="AU695" s="148"/>
      <c r="AV695" s="148"/>
      <c r="AW695" s="148"/>
      <c r="AX695" s="148"/>
      <c r="AY695" s="148"/>
      <c r="AZ695" s="148"/>
    </row>
    <row r="696" spans="20:52" x14ac:dyDescent="0.45">
      <c r="T696" s="148"/>
      <c r="U696" s="148"/>
      <c r="V696" s="148"/>
      <c r="W696" s="148"/>
      <c r="X696" s="148"/>
      <c r="Y696" s="148"/>
      <c r="Z696" s="148"/>
      <c r="AA696" s="148"/>
      <c r="AB696" s="148"/>
      <c r="AC696" s="148"/>
      <c r="AD696" s="148"/>
      <c r="AE696" s="148"/>
      <c r="AF696" s="148"/>
      <c r="AG696" s="148"/>
      <c r="AH696" s="148"/>
      <c r="AI696" s="148"/>
      <c r="AJ696" s="148"/>
      <c r="AK696" s="148"/>
      <c r="AL696" s="148"/>
      <c r="AM696" s="148"/>
      <c r="AN696" s="148"/>
      <c r="AO696" s="148"/>
      <c r="AP696" s="148"/>
      <c r="AQ696" s="148"/>
      <c r="AR696" s="148"/>
      <c r="AS696" s="148"/>
      <c r="AT696" s="148"/>
      <c r="AU696" s="148"/>
      <c r="AV696" s="148"/>
      <c r="AW696" s="148"/>
      <c r="AX696" s="148"/>
      <c r="AY696" s="148"/>
      <c r="AZ696" s="148"/>
    </row>
    <row r="697" spans="20:52" x14ac:dyDescent="0.45">
      <c r="T697" s="148"/>
      <c r="U697" s="148"/>
      <c r="V697" s="148"/>
      <c r="W697" s="148"/>
      <c r="X697" s="148"/>
      <c r="Y697" s="148"/>
      <c r="Z697" s="148"/>
      <c r="AA697" s="148"/>
      <c r="AB697" s="148"/>
      <c r="AC697" s="148"/>
      <c r="AD697" s="148"/>
      <c r="AE697" s="148"/>
      <c r="AF697" s="148"/>
      <c r="AG697" s="148"/>
      <c r="AH697" s="148"/>
      <c r="AI697" s="148"/>
      <c r="AJ697" s="148"/>
      <c r="AK697" s="148"/>
      <c r="AL697" s="148"/>
      <c r="AM697" s="148"/>
      <c r="AN697" s="148"/>
      <c r="AO697" s="148"/>
      <c r="AP697" s="148"/>
      <c r="AQ697" s="148"/>
      <c r="AR697" s="148"/>
      <c r="AS697" s="148"/>
      <c r="AT697" s="148"/>
      <c r="AU697" s="148"/>
      <c r="AV697" s="148"/>
      <c r="AW697" s="148"/>
      <c r="AX697" s="148"/>
      <c r="AY697" s="148"/>
      <c r="AZ697" s="148"/>
    </row>
    <row r="698" spans="20:52" x14ac:dyDescent="0.45">
      <c r="T698" s="148"/>
      <c r="U698" s="148"/>
      <c r="V698" s="148"/>
      <c r="W698" s="148"/>
      <c r="X698" s="148"/>
      <c r="Y698" s="148"/>
      <c r="Z698" s="148"/>
      <c r="AA698" s="148"/>
      <c r="AB698" s="148"/>
      <c r="AC698" s="148"/>
      <c r="AD698" s="148"/>
      <c r="AE698" s="148"/>
      <c r="AF698" s="148"/>
      <c r="AG698" s="148"/>
      <c r="AH698" s="148"/>
      <c r="AI698" s="148"/>
      <c r="AJ698" s="148"/>
      <c r="AK698" s="148"/>
      <c r="AL698" s="148"/>
      <c r="AM698" s="148"/>
      <c r="AN698" s="148"/>
      <c r="AO698" s="148"/>
      <c r="AP698" s="148"/>
      <c r="AQ698" s="148"/>
      <c r="AR698" s="148"/>
      <c r="AS698" s="148"/>
      <c r="AT698" s="148"/>
      <c r="AU698" s="148"/>
      <c r="AV698" s="148"/>
      <c r="AW698" s="148"/>
      <c r="AX698" s="148"/>
      <c r="AY698" s="148"/>
      <c r="AZ698" s="148"/>
    </row>
    <row r="699" spans="20:52" x14ac:dyDescent="0.45">
      <c r="T699" s="148"/>
      <c r="U699" s="148"/>
      <c r="V699" s="148"/>
      <c r="W699" s="148"/>
      <c r="X699" s="148"/>
      <c r="Y699" s="148"/>
      <c r="Z699" s="148"/>
      <c r="AA699" s="148"/>
      <c r="AB699" s="148"/>
      <c r="AC699" s="148"/>
      <c r="AD699" s="148"/>
      <c r="AE699" s="148"/>
      <c r="AF699" s="148"/>
      <c r="AG699" s="148"/>
      <c r="AH699" s="148"/>
      <c r="AI699" s="148"/>
      <c r="AJ699" s="148"/>
      <c r="AK699" s="148"/>
      <c r="AL699" s="148"/>
      <c r="AM699" s="148"/>
      <c r="AN699" s="148"/>
      <c r="AO699" s="148"/>
      <c r="AP699" s="148"/>
      <c r="AQ699" s="148"/>
      <c r="AR699" s="148"/>
      <c r="AS699" s="148"/>
      <c r="AT699" s="148"/>
      <c r="AU699" s="148"/>
      <c r="AV699" s="148"/>
      <c r="AW699" s="148"/>
      <c r="AX699" s="148"/>
      <c r="AY699" s="148"/>
      <c r="AZ699" s="148"/>
    </row>
    <row r="700" spans="20:52" x14ac:dyDescent="0.45">
      <c r="T700" s="148"/>
      <c r="U700" s="148"/>
      <c r="V700" s="148"/>
      <c r="W700" s="148"/>
      <c r="X700" s="148"/>
      <c r="Y700" s="148"/>
      <c r="Z700" s="148"/>
      <c r="AA700" s="148"/>
      <c r="AB700" s="148"/>
      <c r="AC700" s="148"/>
      <c r="AD700" s="148"/>
      <c r="AE700" s="148"/>
      <c r="AF700" s="148"/>
      <c r="AG700" s="148"/>
      <c r="AH700" s="148"/>
      <c r="AI700" s="148"/>
      <c r="AJ700" s="148"/>
      <c r="AK700" s="148"/>
      <c r="AL700" s="148"/>
      <c r="AM700" s="148"/>
      <c r="AN700" s="148"/>
      <c r="AO700" s="148"/>
      <c r="AP700" s="148"/>
      <c r="AQ700" s="148"/>
      <c r="AR700" s="148"/>
      <c r="AS700" s="148"/>
      <c r="AT700" s="148"/>
      <c r="AU700" s="148"/>
      <c r="AV700" s="148"/>
      <c r="AW700" s="148"/>
      <c r="AX700" s="148"/>
      <c r="AY700" s="148"/>
      <c r="AZ700" s="148"/>
    </row>
    <row r="701" spans="20:52" x14ac:dyDescent="0.45">
      <c r="T701" s="148"/>
      <c r="U701" s="148"/>
      <c r="V701" s="148"/>
      <c r="W701" s="148"/>
      <c r="X701" s="148"/>
      <c r="Y701" s="148"/>
      <c r="Z701" s="148"/>
      <c r="AA701" s="148"/>
      <c r="AB701" s="148"/>
      <c r="AC701" s="148"/>
      <c r="AD701" s="148"/>
      <c r="AE701" s="148"/>
      <c r="AF701" s="148"/>
      <c r="AG701" s="148"/>
      <c r="AH701" s="148"/>
      <c r="AI701" s="148"/>
      <c r="AJ701" s="148"/>
      <c r="AK701" s="148"/>
      <c r="AL701" s="148"/>
      <c r="AM701" s="148"/>
      <c r="AN701" s="148"/>
      <c r="AO701" s="148"/>
      <c r="AP701" s="148"/>
      <c r="AQ701" s="148"/>
      <c r="AR701" s="148"/>
      <c r="AS701" s="148"/>
      <c r="AT701" s="148"/>
      <c r="AU701" s="148"/>
      <c r="AV701" s="148"/>
      <c r="AW701" s="148"/>
      <c r="AX701" s="148"/>
      <c r="AY701" s="148"/>
      <c r="AZ701" s="148"/>
    </row>
    <row r="702" spans="20:52" x14ac:dyDescent="0.45">
      <c r="T702" s="148"/>
      <c r="U702" s="148"/>
      <c r="V702" s="148"/>
      <c r="W702" s="148"/>
      <c r="X702" s="148"/>
      <c r="Y702" s="148"/>
      <c r="Z702" s="148"/>
      <c r="AA702" s="148"/>
      <c r="AB702" s="148"/>
      <c r="AC702" s="148"/>
      <c r="AD702" s="148"/>
      <c r="AE702" s="148"/>
      <c r="AF702" s="148"/>
      <c r="AG702" s="148"/>
      <c r="AH702" s="148"/>
      <c r="AI702" s="148"/>
      <c r="AJ702" s="148"/>
      <c r="AK702" s="148"/>
      <c r="AL702" s="148"/>
      <c r="AM702" s="148"/>
      <c r="AN702" s="148"/>
      <c r="AO702" s="148"/>
      <c r="AP702" s="148"/>
      <c r="AQ702" s="148"/>
      <c r="AR702" s="148"/>
      <c r="AS702" s="148"/>
      <c r="AT702" s="148"/>
      <c r="AU702" s="148"/>
      <c r="AV702" s="148"/>
      <c r="AW702" s="148"/>
      <c r="AX702" s="148"/>
      <c r="AY702" s="148"/>
      <c r="AZ702" s="148"/>
    </row>
    <row r="703" spans="20:52" x14ac:dyDescent="0.45">
      <c r="T703" s="148"/>
      <c r="U703" s="148"/>
      <c r="V703" s="148"/>
      <c r="W703" s="148"/>
      <c r="X703" s="148"/>
      <c r="Y703" s="148"/>
      <c r="Z703" s="148"/>
      <c r="AA703" s="148"/>
      <c r="AB703" s="148"/>
      <c r="AC703" s="148"/>
      <c r="AD703" s="148"/>
      <c r="AE703" s="148"/>
      <c r="AF703" s="148"/>
      <c r="AG703" s="148"/>
      <c r="AH703" s="148"/>
      <c r="AI703" s="148"/>
      <c r="AJ703" s="148"/>
      <c r="AK703" s="148"/>
      <c r="AL703" s="148"/>
      <c r="AM703" s="148"/>
      <c r="AN703" s="148"/>
      <c r="AO703" s="148"/>
      <c r="AP703" s="148"/>
      <c r="AQ703" s="148"/>
      <c r="AR703" s="148"/>
      <c r="AS703" s="148"/>
      <c r="AT703" s="148"/>
      <c r="AU703" s="148"/>
      <c r="AV703" s="148"/>
      <c r="AW703" s="148"/>
      <c r="AX703" s="148"/>
      <c r="AY703" s="148"/>
      <c r="AZ703" s="148"/>
    </row>
    <row r="704" spans="20:52" x14ac:dyDescent="0.45">
      <c r="T704" s="148"/>
      <c r="U704" s="148"/>
      <c r="V704" s="148"/>
      <c r="W704" s="148"/>
      <c r="X704" s="148"/>
      <c r="Y704" s="148"/>
      <c r="Z704" s="148"/>
      <c r="AA704" s="148"/>
      <c r="AB704" s="148"/>
      <c r="AC704" s="148"/>
      <c r="AD704" s="148"/>
      <c r="AE704" s="148"/>
      <c r="AF704" s="148"/>
      <c r="AG704" s="148"/>
      <c r="AH704" s="148"/>
      <c r="AI704" s="148"/>
      <c r="AJ704" s="148"/>
      <c r="AK704" s="148"/>
      <c r="AL704" s="148"/>
      <c r="AM704" s="148"/>
      <c r="AN704" s="148"/>
      <c r="AO704" s="148"/>
      <c r="AP704" s="148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</row>
    <row r="705" spans="20:52" x14ac:dyDescent="0.45">
      <c r="T705" s="148"/>
      <c r="U705" s="148"/>
      <c r="V705" s="148"/>
      <c r="W705" s="148"/>
      <c r="X705" s="148"/>
      <c r="Y705" s="148"/>
      <c r="Z705" s="148"/>
      <c r="AA705" s="148"/>
      <c r="AB705" s="148"/>
      <c r="AC705" s="148"/>
      <c r="AD705" s="148"/>
      <c r="AE705" s="148"/>
      <c r="AF705" s="148"/>
      <c r="AG705" s="148"/>
      <c r="AH705" s="148"/>
      <c r="AI705" s="148"/>
      <c r="AJ705" s="148"/>
      <c r="AK705" s="148"/>
      <c r="AL705" s="148"/>
      <c r="AM705" s="148"/>
      <c r="AN705" s="148"/>
      <c r="AO705" s="148"/>
      <c r="AP705" s="148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</row>
    <row r="706" spans="20:52" x14ac:dyDescent="0.45">
      <c r="T706" s="148"/>
      <c r="U706" s="148"/>
      <c r="V706" s="148"/>
      <c r="W706" s="148"/>
      <c r="X706" s="148"/>
      <c r="Y706" s="148"/>
      <c r="Z706" s="148"/>
      <c r="AA706" s="148"/>
      <c r="AB706" s="148"/>
      <c r="AC706" s="148"/>
      <c r="AD706" s="148"/>
      <c r="AE706" s="148"/>
      <c r="AF706" s="148"/>
      <c r="AG706" s="148"/>
      <c r="AH706" s="148"/>
      <c r="AI706" s="148"/>
      <c r="AJ706" s="148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</row>
    <row r="707" spans="20:52" x14ac:dyDescent="0.45">
      <c r="T707" s="148"/>
      <c r="U707" s="148"/>
      <c r="V707" s="148"/>
      <c r="W707" s="148"/>
      <c r="X707" s="148"/>
      <c r="Y707" s="148"/>
      <c r="Z707" s="148"/>
      <c r="AA707" s="148"/>
      <c r="AB707" s="148"/>
      <c r="AC707" s="148"/>
      <c r="AD707" s="148"/>
      <c r="AE707" s="148"/>
      <c r="AF707" s="148"/>
      <c r="AG707" s="148"/>
      <c r="AH707" s="148"/>
      <c r="AI707" s="148"/>
      <c r="AJ707" s="148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</row>
    <row r="708" spans="20:52" x14ac:dyDescent="0.45">
      <c r="T708" s="148"/>
      <c r="U708" s="148"/>
      <c r="V708" s="148"/>
      <c r="W708" s="148"/>
      <c r="X708" s="148"/>
      <c r="Y708" s="148"/>
      <c r="Z708" s="148"/>
      <c r="AA708" s="148"/>
      <c r="AB708" s="148"/>
      <c r="AC708" s="148"/>
      <c r="AD708" s="148"/>
      <c r="AE708" s="148"/>
      <c r="AF708" s="148"/>
      <c r="AG708" s="148"/>
      <c r="AH708" s="148"/>
      <c r="AI708" s="148"/>
      <c r="AJ708" s="148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</row>
    <row r="709" spans="20:52" x14ac:dyDescent="0.45">
      <c r="T709" s="148"/>
      <c r="U709" s="148"/>
      <c r="V709" s="148"/>
      <c r="W709" s="148"/>
      <c r="X709" s="148"/>
      <c r="Y709" s="148"/>
      <c r="Z709" s="148"/>
      <c r="AA709" s="148"/>
      <c r="AB709" s="148"/>
      <c r="AC709" s="148"/>
      <c r="AD709" s="148"/>
      <c r="AE709" s="148"/>
      <c r="AF709" s="148"/>
      <c r="AG709" s="148"/>
      <c r="AH709" s="148"/>
      <c r="AI709" s="148"/>
      <c r="AJ709" s="148"/>
      <c r="AK709" s="148"/>
      <c r="AL709" s="148"/>
      <c r="AM709" s="148"/>
      <c r="AN709" s="148"/>
      <c r="AO709" s="148"/>
      <c r="AP709" s="148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</row>
    <row r="710" spans="20:52" x14ac:dyDescent="0.45">
      <c r="T710" s="148"/>
      <c r="U710" s="148"/>
      <c r="V710" s="148"/>
      <c r="W710" s="148"/>
      <c r="X710" s="148"/>
      <c r="Y710" s="148"/>
      <c r="Z710" s="148"/>
      <c r="AA710" s="148"/>
      <c r="AB710" s="148"/>
      <c r="AC710" s="148"/>
      <c r="AD710" s="148"/>
      <c r="AE710" s="148"/>
      <c r="AF710" s="148"/>
      <c r="AG710" s="148"/>
      <c r="AH710" s="148"/>
      <c r="AI710" s="148"/>
      <c r="AJ710" s="148"/>
      <c r="AK710" s="148"/>
      <c r="AL710" s="148"/>
      <c r="AM710" s="148"/>
      <c r="AN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</row>
    <row r="711" spans="20:52" x14ac:dyDescent="0.45">
      <c r="T711" s="148"/>
      <c r="U711" s="148"/>
      <c r="V711" s="148"/>
      <c r="W711" s="148"/>
      <c r="X711" s="148"/>
      <c r="Y711" s="148"/>
      <c r="Z711" s="148"/>
      <c r="AA711" s="148"/>
      <c r="AB711" s="148"/>
      <c r="AC711" s="148"/>
      <c r="AD711" s="148"/>
      <c r="AE711" s="148"/>
      <c r="AF711" s="148"/>
      <c r="AG711" s="148"/>
      <c r="AH711" s="148"/>
      <c r="AI711" s="148"/>
      <c r="AJ711" s="148"/>
      <c r="AK711" s="148"/>
      <c r="AL711" s="148"/>
      <c r="AM711" s="148"/>
      <c r="AN711" s="148"/>
      <c r="AO711" s="148"/>
      <c r="AP711" s="148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</row>
    <row r="712" spans="20:52" x14ac:dyDescent="0.45">
      <c r="T712" s="148"/>
      <c r="U712" s="148"/>
      <c r="V712" s="148"/>
      <c r="W712" s="148"/>
      <c r="X712" s="148"/>
      <c r="Y712" s="148"/>
      <c r="Z712" s="148"/>
      <c r="AA712" s="148"/>
      <c r="AB712" s="148"/>
      <c r="AC712" s="148"/>
      <c r="AD712" s="148"/>
      <c r="AE712" s="148"/>
      <c r="AF712" s="148"/>
      <c r="AG712" s="148"/>
      <c r="AH712" s="148"/>
      <c r="AI712" s="148"/>
      <c r="AJ712" s="148"/>
      <c r="AK712" s="148"/>
      <c r="AL712" s="148"/>
      <c r="AM712" s="148"/>
      <c r="AN712" s="148"/>
      <c r="AO712" s="148"/>
      <c r="AP712" s="148"/>
      <c r="AQ712" s="148"/>
      <c r="AR712" s="148"/>
      <c r="AS712" s="148"/>
      <c r="AT712" s="148"/>
      <c r="AU712" s="148"/>
      <c r="AV712" s="148"/>
      <c r="AW712" s="148"/>
      <c r="AX712" s="148"/>
      <c r="AY712" s="148"/>
      <c r="AZ712" s="148"/>
    </row>
    <row r="713" spans="20:52" x14ac:dyDescent="0.45">
      <c r="T713" s="148"/>
      <c r="U713" s="148"/>
      <c r="V713" s="148"/>
      <c r="W713" s="148"/>
      <c r="X713" s="148"/>
      <c r="Y713" s="148"/>
      <c r="Z713" s="148"/>
      <c r="AA713" s="148"/>
      <c r="AB713" s="148"/>
      <c r="AC713" s="148"/>
      <c r="AD713" s="148"/>
      <c r="AE713" s="148"/>
      <c r="AF713" s="148"/>
      <c r="AG713" s="148"/>
      <c r="AH713" s="148"/>
      <c r="AI713" s="148"/>
      <c r="AJ713" s="148"/>
      <c r="AK713" s="148"/>
      <c r="AL713" s="148"/>
      <c r="AM713" s="148"/>
      <c r="AN713" s="148"/>
      <c r="AO713" s="148"/>
      <c r="AP713" s="148"/>
      <c r="AQ713" s="148"/>
      <c r="AR713" s="148"/>
      <c r="AS713" s="148"/>
      <c r="AT713" s="148"/>
      <c r="AU713" s="148"/>
      <c r="AV713" s="148"/>
      <c r="AW713" s="148"/>
      <c r="AX713" s="148"/>
      <c r="AY713" s="148"/>
      <c r="AZ713" s="148"/>
    </row>
    <row r="714" spans="20:52" x14ac:dyDescent="0.45">
      <c r="T714" s="148"/>
      <c r="U714" s="148"/>
      <c r="V714" s="148"/>
      <c r="W714" s="148"/>
      <c r="X714" s="148"/>
      <c r="Y714" s="148"/>
      <c r="Z714" s="148"/>
      <c r="AA714" s="148"/>
      <c r="AB714" s="148"/>
      <c r="AC714" s="148"/>
      <c r="AD714" s="148"/>
      <c r="AE714" s="148"/>
      <c r="AF714" s="148"/>
      <c r="AG714" s="148"/>
      <c r="AH714" s="148"/>
      <c r="AI714" s="148"/>
      <c r="AJ714" s="148"/>
      <c r="AK714" s="148"/>
      <c r="AL714" s="148"/>
      <c r="AM714" s="148"/>
      <c r="AN714" s="148"/>
      <c r="AO714" s="148"/>
      <c r="AP714" s="148"/>
      <c r="AQ714" s="148"/>
      <c r="AR714" s="148"/>
      <c r="AS714" s="148"/>
      <c r="AT714" s="148"/>
      <c r="AU714" s="148"/>
      <c r="AV714" s="148"/>
      <c r="AW714" s="148"/>
      <c r="AX714" s="148"/>
      <c r="AY714" s="148"/>
      <c r="AZ714" s="148"/>
    </row>
    <row r="715" spans="20:52" x14ac:dyDescent="0.45">
      <c r="T715" s="148"/>
      <c r="U715" s="148"/>
      <c r="V715" s="148"/>
      <c r="W715" s="148"/>
      <c r="X715" s="148"/>
      <c r="Y715" s="148"/>
      <c r="Z715" s="148"/>
      <c r="AA715" s="148"/>
      <c r="AB715" s="148"/>
      <c r="AC715" s="148"/>
      <c r="AD715" s="148"/>
      <c r="AE715" s="148"/>
      <c r="AF715" s="148"/>
      <c r="AG715" s="148"/>
      <c r="AH715" s="148"/>
      <c r="AI715" s="148"/>
      <c r="AJ715" s="148"/>
      <c r="AK715" s="148"/>
      <c r="AL715" s="148"/>
      <c r="AM715" s="148"/>
      <c r="AN715" s="148"/>
      <c r="AO715" s="148"/>
      <c r="AP715" s="148"/>
      <c r="AQ715" s="148"/>
      <c r="AR715" s="148"/>
      <c r="AS715" s="148"/>
      <c r="AT715" s="148"/>
      <c r="AU715" s="148"/>
      <c r="AV715" s="148"/>
      <c r="AW715" s="148"/>
      <c r="AX715" s="148"/>
      <c r="AY715" s="148"/>
      <c r="AZ715" s="148"/>
    </row>
    <row r="716" spans="20:52" x14ac:dyDescent="0.45">
      <c r="T716" s="148"/>
      <c r="U716" s="148"/>
      <c r="V716" s="148"/>
      <c r="W716" s="148"/>
      <c r="X716" s="148"/>
      <c r="Y716" s="148"/>
      <c r="Z716" s="148"/>
      <c r="AA716" s="148"/>
      <c r="AB716" s="148"/>
      <c r="AC716" s="148"/>
      <c r="AD716" s="148"/>
      <c r="AE716" s="148"/>
      <c r="AF716" s="148"/>
      <c r="AG716" s="148"/>
      <c r="AH716" s="148"/>
      <c r="AI716" s="148"/>
      <c r="AJ716" s="148"/>
      <c r="AK716" s="148"/>
      <c r="AL716" s="148"/>
      <c r="AM716" s="148"/>
      <c r="AN716" s="148"/>
      <c r="AO716" s="148"/>
      <c r="AP716" s="148"/>
      <c r="AQ716" s="148"/>
      <c r="AR716" s="148"/>
      <c r="AS716" s="148"/>
      <c r="AT716" s="148"/>
      <c r="AU716" s="148"/>
      <c r="AV716" s="148"/>
      <c r="AW716" s="148"/>
      <c r="AX716" s="148"/>
      <c r="AY716" s="148"/>
      <c r="AZ716" s="148"/>
    </row>
    <row r="717" spans="20:52" x14ac:dyDescent="0.45">
      <c r="T717" s="148"/>
      <c r="U717" s="148"/>
      <c r="V717" s="148"/>
      <c r="W717" s="148"/>
      <c r="X717" s="148"/>
      <c r="Y717" s="148"/>
      <c r="Z717" s="148"/>
      <c r="AA717" s="148"/>
      <c r="AB717" s="148"/>
      <c r="AC717" s="148"/>
      <c r="AD717" s="148"/>
      <c r="AE717" s="148"/>
      <c r="AF717" s="148"/>
      <c r="AG717" s="148"/>
      <c r="AH717" s="148"/>
      <c r="AI717" s="148"/>
      <c r="AJ717" s="148"/>
      <c r="AK717" s="148"/>
      <c r="AL717" s="148"/>
      <c r="AM717" s="148"/>
      <c r="AN717" s="148"/>
      <c r="AO717" s="148"/>
      <c r="AP717" s="148"/>
      <c r="AQ717" s="148"/>
      <c r="AR717" s="148"/>
      <c r="AS717" s="148"/>
      <c r="AT717" s="148"/>
      <c r="AU717" s="148"/>
      <c r="AV717" s="148"/>
      <c r="AW717" s="148"/>
      <c r="AX717" s="148"/>
      <c r="AY717" s="148"/>
      <c r="AZ717" s="148"/>
    </row>
    <row r="718" spans="20:52" x14ac:dyDescent="0.45">
      <c r="T718" s="148"/>
      <c r="U718" s="148"/>
      <c r="V718" s="148"/>
      <c r="W718" s="148"/>
      <c r="X718" s="148"/>
      <c r="Y718" s="148"/>
      <c r="Z718" s="148"/>
      <c r="AA718" s="148"/>
      <c r="AB718" s="148"/>
      <c r="AC718" s="148"/>
      <c r="AD718" s="148"/>
      <c r="AE718" s="148"/>
      <c r="AF718" s="148"/>
      <c r="AG718" s="148"/>
      <c r="AH718" s="148"/>
      <c r="AI718" s="148"/>
      <c r="AJ718" s="148"/>
      <c r="AK718" s="148"/>
      <c r="AL718" s="148"/>
      <c r="AM718" s="148"/>
      <c r="AN718" s="148"/>
      <c r="AO718" s="148"/>
      <c r="AP718" s="148"/>
      <c r="AQ718" s="148"/>
      <c r="AR718" s="148"/>
      <c r="AS718" s="148"/>
      <c r="AT718" s="148"/>
      <c r="AU718" s="148"/>
      <c r="AV718" s="148"/>
      <c r="AW718" s="148"/>
      <c r="AX718" s="148"/>
      <c r="AY718" s="148"/>
      <c r="AZ718" s="148"/>
    </row>
    <row r="719" spans="20:52" x14ac:dyDescent="0.45">
      <c r="T719" s="148"/>
      <c r="U719" s="148"/>
      <c r="V719" s="148"/>
      <c r="W719" s="148"/>
      <c r="X719" s="148"/>
      <c r="Y719" s="148"/>
      <c r="Z719" s="148"/>
      <c r="AA719" s="148"/>
      <c r="AB719" s="148"/>
      <c r="AC719" s="148"/>
      <c r="AD719" s="148"/>
      <c r="AE719" s="148"/>
      <c r="AF719" s="148"/>
      <c r="AG719" s="148"/>
      <c r="AH719" s="148"/>
      <c r="AI719" s="148"/>
      <c r="AJ719" s="148"/>
      <c r="AK719" s="148"/>
      <c r="AL719" s="148"/>
      <c r="AM719" s="148"/>
      <c r="AN719" s="148"/>
      <c r="AO719" s="148"/>
      <c r="AP719" s="148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</row>
    <row r="720" spans="20:52" x14ac:dyDescent="0.45">
      <c r="T720" s="148"/>
      <c r="U720" s="148"/>
      <c r="V720" s="148"/>
      <c r="W720" s="148"/>
      <c r="X720" s="148"/>
      <c r="Y720" s="148"/>
      <c r="Z720" s="148"/>
      <c r="AA720" s="148"/>
      <c r="AB720" s="148"/>
      <c r="AC720" s="148"/>
      <c r="AD720" s="148"/>
      <c r="AE720" s="148"/>
      <c r="AF720" s="148"/>
      <c r="AG720" s="148"/>
      <c r="AH720" s="148"/>
      <c r="AI720" s="148"/>
      <c r="AJ720" s="148"/>
      <c r="AK720" s="148"/>
      <c r="AL720" s="148"/>
      <c r="AM720" s="148"/>
      <c r="AN720" s="148"/>
      <c r="AO720" s="148"/>
      <c r="AP720" s="148"/>
      <c r="AQ720" s="148"/>
      <c r="AR720" s="148"/>
      <c r="AS720" s="148"/>
      <c r="AT720" s="148"/>
      <c r="AU720" s="148"/>
      <c r="AV720" s="148"/>
      <c r="AW720" s="148"/>
      <c r="AX720" s="148"/>
      <c r="AY720" s="148"/>
      <c r="AZ720" s="148"/>
    </row>
    <row r="721" spans="20:52" x14ac:dyDescent="0.45">
      <c r="T721" s="148"/>
      <c r="U721" s="148"/>
      <c r="V721" s="148"/>
      <c r="W721" s="148"/>
      <c r="X721" s="148"/>
      <c r="Y721" s="148"/>
      <c r="Z721" s="148"/>
      <c r="AA721" s="148"/>
      <c r="AB721" s="148"/>
      <c r="AC721" s="148"/>
      <c r="AD721" s="148"/>
      <c r="AE721" s="148"/>
      <c r="AF721" s="148"/>
      <c r="AG721" s="148"/>
      <c r="AH721" s="148"/>
      <c r="AI721" s="148"/>
      <c r="AJ721" s="148"/>
      <c r="AK721" s="148"/>
      <c r="AL721" s="148"/>
      <c r="AM721" s="148"/>
      <c r="AN721" s="148"/>
      <c r="AO721" s="148"/>
      <c r="AP721" s="148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</row>
    <row r="722" spans="20:52" x14ac:dyDescent="0.45">
      <c r="T722" s="148"/>
      <c r="U722" s="148"/>
      <c r="V722" s="148"/>
      <c r="W722" s="148"/>
      <c r="X722" s="148"/>
      <c r="Y722" s="148"/>
      <c r="Z722" s="148"/>
      <c r="AA722" s="148"/>
      <c r="AB722" s="148"/>
      <c r="AC722" s="148"/>
      <c r="AD722" s="148"/>
      <c r="AE722" s="148"/>
      <c r="AF722" s="148"/>
      <c r="AG722" s="148"/>
      <c r="AH722" s="148"/>
      <c r="AI722" s="148"/>
      <c r="AJ722" s="148"/>
      <c r="AK722" s="148"/>
      <c r="AL722" s="148"/>
      <c r="AM722" s="148"/>
      <c r="AN722" s="148"/>
      <c r="AO722" s="148"/>
      <c r="AP722" s="148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</row>
    <row r="723" spans="20:52" x14ac:dyDescent="0.45">
      <c r="T723" s="148"/>
      <c r="U723" s="148"/>
      <c r="V723" s="148"/>
      <c r="W723" s="148"/>
      <c r="X723" s="148"/>
      <c r="Y723" s="148"/>
      <c r="Z723" s="148"/>
      <c r="AA723" s="148"/>
      <c r="AB723" s="148"/>
      <c r="AC723" s="148"/>
      <c r="AD723" s="148"/>
      <c r="AE723" s="148"/>
      <c r="AF723" s="148"/>
      <c r="AG723" s="148"/>
      <c r="AH723" s="148"/>
      <c r="AI723" s="148"/>
      <c r="AJ723" s="148"/>
      <c r="AK723" s="148"/>
      <c r="AL723" s="148"/>
      <c r="AM723" s="148"/>
      <c r="AN723" s="148"/>
      <c r="AO723" s="148"/>
      <c r="AP723" s="148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</row>
    <row r="724" spans="20:52" x14ac:dyDescent="0.45">
      <c r="T724" s="148"/>
      <c r="U724" s="148"/>
      <c r="V724" s="148"/>
      <c r="W724" s="148"/>
      <c r="X724" s="148"/>
      <c r="Y724" s="148"/>
      <c r="Z724" s="148"/>
      <c r="AA724" s="148"/>
      <c r="AB724" s="148"/>
      <c r="AC724" s="148"/>
      <c r="AD724" s="148"/>
      <c r="AE724" s="148"/>
      <c r="AF724" s="148"/>
      <c r="AG724" s="148"/>
      <c r="AH724" s="148"/>
      <c r="AI724" s="148"/>
      <c r="AJ724" s="148"/>
      <c r="AK724" s="148"/>
      <c r="AL724" s="148"/>
      <c r="AM724" s="148"/>
      <c r="AN724" s="148"/>
      <c r="AO724" s="148"/>
      <c r="AP724" s="148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</row>
    <row r="725" spans="20:52" x14ac:dyDescent="0.45">
      <c r="T725" s="148"/>
      <c r="U725" s="148"/>
      <c r="V725" s="148"/>
      <c r="W725" s="148"/>
      <c r="X725" s="148"/>
      <c r="Y725" s="148"/>
      <c r="Z725" s="148"/>
      <c r="AA725" s="148"/>
      <c r="AB725" s="148"/>
      <c r="AC725" s="148"/>
      <c r="AD725" s="148"/>
      <c r="AE725" s="148"/>
      <c r="AF725" s="148"/>
      <c r="AG725" s="148"/>
      <c r="AH725" s="148"/>
      <c r="AI725" s="148"/>
      <c r="AJ725" s="148"/>
      <c r="AK725" s="148"/>
      <c r="AL725" s="148"/>
      <c r="AM725" s="148"/>
      <c r="AN725" s="148"/>
      <c r="AO725" s="148"/>
      <c r="AP725" s="148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</row>
    <row r="726" spans="20:52" x14ac:dyDescent="0.45">
      <c r="T726" s="148"/>
      <c r="U726" s="148"/>
      <c r="V726" s="148"/>
      <c r="W726" s="148"/>
      <c r="X726" s="148"/>
      <c r="Y726" s="148"/>
      <c r="Z726" s="148"/>
      <c r="AA726" s="148"/>
      <c r="AB726" s="148"/>
      <c r="AC726" s="148"/>
      <c r="AD726" s="148"/>
      <c r="AE726" s="148"/>
      <c r="AF726" s="148"/>
      <c r="AG726" s="148"/>
      <c r="AH726" s="148"/>
      <c r="AI726" s="148"/>
      <c r="AJ726" s="148"/>
      <c r="AK726" s="148"/>
      <c r="AL726" s="148"/>
      <c r="AM726" s="148"/>
      <c r="AN726" s="148"/>
      <c r="AO726" s="148"/>
      <c r="AP726" s="148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</row>
    <row r="727" spans="20:52" x14ac:dyDescent="0.45">
      <c r="T727" s="148"/>
      <c r="U727" s="148"/>
      <c r="V727" s="148"/>
      <c r="W727" s="148"/>
      <c r="X727" s="148"/>
      <c r="Y727" s="148"/>
      <c r="Z727" s="148"/>
      <c r="AA727" s="148"/>
      <c r="AB727" s="148"/>
      <c r="AC727" s="148"/>
      <c r="AD727" s="148"/>
      <c r="AE727" s="148"/>
      <c r="AF727" s="148"/>
      <c r="AG727" s="148"/>
      <c r="AH727" s="148"/>
      <c r="AI727" s="148"/>
      <c r="AJ727" s="148"/>
      <c r="AK727" s="148"/>
      <c r="AL727" s="148"/>
      <c r="AM727" s="148"/>
      <c r="AN727" s="148"/>
      <c r="AO727" s="148"/>
      <c r="AP727" s="148"/>
      <c r="AQ727" s="148"/>
      <c r="AR727" s="148"/>
      <c r="AS727" s="148"/>
      <c r="AT727" s="148"/>
      <c r="AU727" s="148"/>
      <c r="AV727" s="148"/>
      <c r="AW727" s="148"/>
      <c r="AX727" s="148"/>
      <c r="AY727" s="148"/>
      <c r="AZ727" s="148"/>
    </row>
    <row r="728" spans="20:52" x14ac:dyDescent="0.45">
      <c r="T728" s="148"/>
      <c r="U728" s="148"/>
      <c r="V728" s="148"/>
      <c r="W728" s="148"/>
      <c r="X728" s="148"/>
      <c r="Y728" s="148"/>
      <c r="Z728" s="148"/>
      <c r="AA728" s="148"/>
      <c r="AB728" s="148"/>
      <c r="AC728" s="148"/>
      <c r="AD728" s="148"/>
      <c r="AE728" s="148"/>
      <c r="AF728" s="148"/>
      <c r="AG728" s="148"/>
      <c r="AH728" s="148"/>
      <c r="AI728" s="148"/>
      <c r="AJ728" s="148"/>
      <c r="AK728" s="148"/>
      <c r="AL728" s="148"/>
      <c r="AM728" s="148"/>
      <c r="AN728" s="148"/>
      <c r="AO728" s="148"/>
      <c r="AP728" s="148"/>
      <c r="AQ728" s="148"/>
      <c r="AR728" s="148"/>
      <c r="AS728" s="148"/>
      <c r="AT728" s="148"/>
      <c r="AU728" s="148"/>
      <c r="AV728" s="148"/>
      <c r="AW728" s="148"/>
      <c r="AX728" s="148"/>
      <c r="AY728" s="148"/>
      <c r="AZ728" s="148"/>
    </row>
    <row r="729" spans="20:52" x14ac:dyDescent="0.45">
      <c r="T729" s="148"/>
      <c r="U729" s="148"/>
      <c r="V729" s="148"/>
      <c r="W729" s="148"/>
      <c r="X729" s="148"/>
      <c r="Y729" s="148"/>
      <c r="Z729" s="148"/>
      <c r="AA729" s="148"/>
      <c r="AB729" s="148"/>
      <c r="AC729" s="148"/>
      <c r="AD729" s="148"/>
      <c r="AE729" s="148"/>
      <c r="AF729" s="148"/>
      <c r="AG729" s="148"/>
      <c r="AH729" s="148"/>
      <c r="AI729" s="148"/>
      <c r="AJ729" s="148"/>
      <c r="AK729" s="148"/>
      <c r="AL729" s="148"/>
      <c r="AM729" s="148"/>
      <c r="AN729" s="148"/>
      <c r="AO729" s="148"/>
      <c r="AP729" s="148"/>
      <c r="AQ729" s="148"/>
      <c r="AR729" s="148"/>
      <c r="AS729" s="148"/>
      <c r="AT729" s="148"/>
      <c r="AU729" s="148"/>
      <c r="AV729" s="148"/>
      <c r="AW729" s="148"/>
      <c r="AX729" s="148"/>
      <c r="AY729" s="148"/>
      <c r="AZ729" s="148"/>
    </row>
    <row r="730" spans="20:52" x14ac:dyDescent="0.45">
      <c r="T730" s="148"/>
      <c r="U730" s="148"/>
      <c r="V730" s="148"/>
      <c r="W730" s="148"/>
      <c r="X730" s="148"/>
      <c r="Y730" s="148"/>
      <c r="Z730" s="148"/>
      <c r="AA730" s="148"/>
      <c r="AB730" s="148"/>
      <c r="AC730" s="148"/>
      <c r="AD730" s="148"/>
      <c r="AE730" s="148"/>
      <c r="AF730" s="148"/>
      <c r="AG730" s="148"/>
      <c r="AH730" s="148"/>
      <c r="AI730" s="148"/>
      <c r="AJ730" s="148"/>
      <c r="AK730" s="148"/>
      <c r="AL730" s="148"/>
      <c r="AM730" s="148"/>
      <c r="AN730" s="148"/>
      <c r="AO730" s="148"/>
      <c r="AP730" s="148"/>
      <c r="AQ730" s="148"/>
      <c r="AR730" s="148"/>
      <c r="AS730" s="148"/>
      <c r="AT730" s="148"/>
      <c r="AU730" s="148"/>
      <c r="AV730" s="148"/>
      <c r="AW730" s="148"/>
      <c r="AX730" s="148"/>
      <c r="AY730" s="148"/>
      <c r="AZ730" s="148"/>
    </row>
    <row r="731" spans="20:52" x14ac:dyDescent="0.45">
      <c r="T731" s="148"/>
      <c r="U731" s="148"/>
      <c r="V731" s="148"/>
      <c r="W731" s="148"/>
      <c r="X731" s="148"/>
      <c r="Y731" s="148"/>
      <c r="Z731" s="148"/>
      <c r="AA731" s="148"/>
      <c r="AB731" s="148"/>
      <c r="AC731" s="148"/>
      <c r="AD731" s="148"/>
      <c r="AE731" s="148"/>
      <c r="AF731" s="148"/>
      <c r="AG731" s="148"/>
      <c r="AH731" s="148"/>
      <c r="AI731" s="148"/>
      <c r="AJ731" s="148"/>
      <c r="AK731" s="148"/>
      <c r="AL731" s="148"/>
      <c r="AM731" s="148"/>
      <c r="AN731" s="148"/>
      <c r="AO731" s="148"/>
      <c r="AP731" s="148"/>
      <c r="AQ731" s="148"/>
      <c r="AR731" s="148"/>
      <c r="AS731" s="148"/>
      <c r="AT731" s="148"/>
      <c r="AU731" s="148"/>
      <c r="AV731" s="148"/>
      <c r="AW731" s="148"/>
      <c r="AX731" s="148"/>
      <c r="AY731" s="148"/>
      <c r="AZ731" s="148"/>
    </row>
    <row r="732" spans="20:52" x14ac:dyDescent="0.45">
      <c r="T732" s="148"/>
      <c r="U732" s="148"/>
      <c r="V732" s="148"/>
      <c r="W732" s="148"/>
      <c r="X732" s="148"/>
      <c r="Y732" s="148"/>
      <c r="Z732" s="148"/>
      <c r="AA732" s="148"/>
      <c r="AB732" s="148"/>
      <c r="AC732" s="148"/>
      <c r="AD732" s="148"/>
      <c r="AE732" s="148"/>
      <c r="AF732" s="148"/>
      <c r="AG732" s="148"/>
      <c r="AH732" s="148"/>
      <c r="AI732" s="148"/>
      <c r="AJ732" s="148"/>
      <c r="AK732" s="148"/>
      <c r="AL732" s="148"/>
      <c r="AM732" s="148"/>
      <c r="AN732" s="148"/>
      <c r="AO732" s="148"/>
      <c r="AP732" s="148"/>
      <c r="AQ732" s="148"/>
      <c r="AR732" s="148"/>
      <c r="AS732" s="148"/>
      <c r="AT732" s="148"/>
      <c r="AU732" s="148"/>
      <c r="AV732" s="148"/>
      <c r="AW732" s="148"/>
      <c r="AX732" s="148"/>
      <c r="AY732" s="148"/>
      <c r="AZ732" s="148"/>
    </row>
    <row r="733" spans="20:52" x14ac:dyDescent="0.45">
      <c r="T733" s="148"/>
      <c r="U733" s="148"/>
      <c r="V733" s="148"/>
      <c r="W733" s="148"/>
      <c r="X733" s="148"/>
      <c r="Y733" s="148"/>
      <c r="Z733" s="148"/>
      <c r="AA733" s="148"/>
      <c r="AB733" s="148"/>
      <c r="AC733" s="148"/>
      <c r="AD733" s="148"/>
      <c r="AE733" s="148"/>
      <c r="AF733" s="148"/>
      <c r="AG733" s="148"/>
      <c r="AH733" s="148"/>
      <c r="AI733" s="148"/>
      <c r="AJ733" s="148"/>
      <c r="AK733" s="148"/>
      <c r="AL733" s="148"/>
      <c r="AM733" s="148"/>
      <c r="AN733" s="148"/>
      <c r="AO733" s="148"/>
      <c r="AP733" s="148"/>
      <c r="AQ733" s="148"/>
      <c r="AR733" s="148"/>
      <c r="AS733" s="148"/>
      <c r="AT733" s="148"/>
      <c r="AU733" s="148"/>
      <c r="AV733" s="148"/>
      <c r="AW733" s="148"/>
      <c r="AX733" s="148"/>
      <c r="AY733" s="148"/>
      <c r="AZ733" s="148"/>
    </row>
    <row r="734" spans="20:52" x14ac:dyDescent="0.45">
      <c r="T734" s="148"/>
      <c r="U734" s="148"/>
      <c r="V734" s="148"/>
      <c r="W734" s="148"/>
      <c r="X734" s="148"/>
      <c r="Y734" s="148"/>
      <c r="Z734" s="148"/>
      <c r="AA734" s="148"/>
      <c r="AB734" s="148"/>
      <c r="AC734" s="148"/>
      <c r="AD734" s="148"/>
      <c r="AE734" s="148"/>
      <c r="AF734" s="148"/>
      <c r="AG734" s="148"/>
      <c r="AH734" s="148"/>
      <c r="AI734" s="148"/>
      <c r="AJ734" s="148"/>
      <c r="AK734" s="148"/>
      <c r="AL734" s="148"/>
      <c r="AM734" s="148"/>
      <c r="AN734" s="148"/>
      <c r="AO734" s="148"/>
      <c r="AP734" s="148"/>
      <c r="AQ734" s="148"/>
      <c r="AR734" s="148"/>
      <c r="AS734" s="148"/>
      <c r="AT734" s="148"/>
      <c r="AU734" s="148"/>
      <c r="AV734" s="148"/>
      <c r="AW734" s="148"/>
      <c r="AX734" s="148"/>
      <c r="AY734" s="148"/>
      <c r="AZ734" s="148"/>
    </row>
    <row r="735" spans="20:52" x14ac:dyDescent="0.45">
      <c r="T735" s="148"/>
      <c r="U735" s="148"/>
      <c r="V735" s="148"/>
      <c r="W735" s="148"/>
      <c r="X735" s="148"/>
      <c r="Y735" s="148"/>
      <c r="Z735" s="148"/>
      <c r="AA735" s="148"/>
      <c r="AB735" s="148"/>
      <c r="AC735" s="148"/>
      <c r="AD735" s="148"/>
      <c r="AE735" s="148"/>
      <c r="AF735" s="148"/>
      <c r="AG735" s="148"/>
      <c r="AH735" s="148"/>
      <c r="AI735" s="148"/>
      <c r="AJ735" s="148"/>
      <c r="AK735" s="148"/>
      <c r="AL735" s="148"/>
      <c r="AM735" s="148"/>
      <c r="AN735" s="148"/>
      <c r="AO735" s="148"/>
      <c r="AP735" s="148"/>
      <c r="AQ735" s="148"/>
      <c r="AR735" s="148"/>
      <c r="AS735" s="148"/>
      <c r="AT735" s="148"/>
      <c r="AU735" s="148"/>
      <c r="AV735" s="148"/>
      <c r="AW735" s="148"/>
      <c r="AX735" s="148"/>
      <c r="AY735" s="148"/>
      <c r="AZ735" s="148"/>
    </row>
    <row r="736" spans="20:52" x14ac:dyDescent="0.45">
      <c r="T736" s="148"/>
      <c r="U736" s="148"/>
      <c r="V736" s="148"/>
      <c r="W736" s="148"/>
      <c r="X736" s="148"/>
      <c r="Y736" s="148"/>
      <c r="Z736" s="148"/>
      <c r="AA736" s="148"/>
      <c r="AB736" s="148"/>
      <c r="AC736" s="148"/>
      <c r="AD736" s="148"/>
      <c r="AE736" s="148"/>
      <c r="AF736" s="148"/>
      <c r="AG736" s="148"/>
      <c r="AH736" s="148"/>
      <c r="AI736" s="148"/>
      <c r="AJ736" s="148"/>
      <c r="AK736" s="148"/>
      <c r="AL736" s="148"/>
      <c r="AM736" s="148"/>
      <c r="AN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</row>
    <row r="737" spans="20:52" x14ac:dyDescent="0.45">
      <c r="T737" s="148"/>
      <c r="U737" s="148"/>
      <c r="V737" s="148"/>
      <c r="W737" s="148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/>
      <c r="AH737" s="148"/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</row>
    <row r="738" spans="20:52" x14ac:dyDescent="0.45">
      <c r="T738" s="148"/>
      <c r="U738" s="148"/>
      <c r="V738" s="148"/>
      <c r="W738" s="148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/>
      <c r="AH738" s="148"/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</row>
    <row r="739" spans="20:52" x14ac:dyDescent="0.45">
      <c r="T739" s="148"/>
      <c r="U739" s="148"/>
      <c r="V739" s="148"/>
      <c r="W739" s="14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</row>
    <row r="740" spans="20:52" x14ac:dyDescent="0.45">
      <c r="T740" s="148"/>
      <c r="U740" s="148"/>
      <c r="V740" s="148"/>
      <c r="W740" s="148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</row>
    <row r="741" spans="20:52" x14ac:dyDescent="0.45">
      <c r="T741" s="148"/>
      <c r="U741" s="148"/>
      <c r="V741" s="148"/>
      <c r="W741" s="14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</row>
    <row r="742" spans="20:52" x14ac:dyDescent="0.45">
      <c r="T742" s="148"/>
      <c r="U742" s="148"/>
      <c r="V742" s="148"/>
      <c r="W742" s="148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</row>
    <row r="743" spans="20:52" x14ac:dyDescent="0.45">
      <c r="T743" s="148"/>
      <c r="U743" s="148"/>
      <c r="V743" s="148"/>
      <c r="W743" s="148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</row>
    <row r="744" spans="20:52" x14ac:dyDescent="0.45">
      <c r="T744" s="148"/>
      <c r="U744" s="148"/>
      <c r="V744" s="148"/>
      <c r="W744" s="148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</row>
    <row r="745" spans="20:52" x14ac:dyDescent="0.45">
      <c r="T745" s="148"/>
      <c r="U745" s="148"/>
      <c r="V745" s="148"/>
      <c r="W745" s="148"/>
      <c r="X745" s="148"/>
      <c r="Y745" s="148"/>
      <c r="Z745" s="148"/>
      <c r="AA745" s="148"/>
      <c r="AB745" s="148"/>
      <c r="AC745" s="148"/>
      <c r="AD745" s="148"/>
      <c r="AE745" s="148"/>
      <c r="AF745" s="148"/>
      <c r="AG745" s="148"/>
      <c r="AH745" s="148"/>
      <c r="AI745" s="148"/>
      <c r="AJ745" s="148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</row>
    <row r="746" spans="20:52" x14ac:dyDescent="0.45">
      <c r="T746" s="148"/>
      <c r="U746" s="148"/>
      <c r="V746" s="148"/>
      <c r="W746" s="148"/>
      <c r="X746" s="148"/>
      <c r="Y746" s="148"/>
      <c r="Z746" s="148"/>
      <c r="AA746" s="148"/>
      <c r="AB746" s="148"/>
      <c r="AC746" s="148"/>
      <c r="AD746" s="148"/>
      <c r="AE746" s="148"/>
      <c r="AF746" s="148"/>
      <c r="AG746" s="148"/>
      <c r="AH746" s="148"/>
      <c r="AI746" s="148"/>
      <c r="AJ746" s="148"/>
      <c r="AK746" s="148"/>
      <c r="AL746" s="148"/>
      <c r="AM746" s="148"/>
      <c r="AN746" s="148"/>
      <c r="AO746" s="148"/>
      <c r="AP746" s="148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</row>
    <row r="747" spans="20:52" x14ac:dyDescent="0.45">
      <c r="T747" s="148"/>
      <c r="U747" s="148"/>
      <c r="V747" s="148"/>
      <c r="W747" s="148"/>
      <c r="X747" s="148"/>
      <c r="Y747" s="148"/>
      <c r="Z747" s="148"/>
      <c r="AA747" s="148"/>
      <c r="AB747" s="148"/>
      <c r="AC747" s="148"/>
      <c r="AD747" s="148"/>
      <c r="AE747" s="148"/>
      <c r="AF747" s="148"/>
      <c r="AG747" s="148"/>
      <c r="AH747" s="148"/>
      <c r="AI747" s="148"/>
      <c r="AJ747" s="148"/>
      <c r="AK747" s="148"/>
      <c r="AL747" s="148"/>
      <c r="AM747" s="148"/>
      <c r="AN747" s="148"/>
      <c r="AO747" s="148"/>
      <c r="AP747" s="148"/>
      <c r="AQ747" s="148"/>
      <c r="AR747" s="148"/>
      <c r="AS747" s="148"/>
      <c r="AT747" s="148"/>
      <c r="AU747" s="148"/>
      <c r="AV747" s="148"/>
      <c r="AW747" s="148"/>
      <c r="AX747" s="148"/>
      <c r="AY747" s="148"/>
      <c r="AZ747" s="148"/>
    </row>
    <row r="748" spans="20:52" x14ac:dyDescent="0.45">
      <c r="T748" s="148"/>
      <c r="U748" s="148"/>
      <c r="V748" s="148"/>
      <c r="W748" s="148"/>
      <c r="X748" s="148"/>
      <c r="Y748" s="148"/>
      <c r="Z748" s="148"/>
      <c r="AA748" s="148"/>
      <c r="AB748" s="148"/>
      <c r="AC748" s="148"/>
      <c r="AD748" s="148"/>
      <c r="AE748" s="148"/>
      <c r="AF748" s="148"/>
      <c r="AG748" s="148"/>
      <c r="AH748" s="148"/>
      <c r="AI748" s="148"/>
      <c r="AJ748" s="148"/>
      <c r="AK748" s="148"/>
      <c r="AL748" s="148"/>
      <c r="AM748" s="148"/>
      <c r="AN748" s="148"/>
      <c r="AO748" s="148"/>
      <c r="AP748" s="148"/>
      <c r="AQ748" s="148"/>
      <c r="AR748" s="148"/>
      <c r="AS748" s="148"/>
      <c r="AT748" s="148"/>
      <c r="AU748" s="148"/>
      <c r="AV748" s="148"/>
      <c r="AW748" s="148"/>
      <c r="AX748" s="148"/>
      <c r="AY748" s="148"/>
      <c r="AZ748" s="148"/>
    </row>
    <row r="749" spans="20:52" x14ac:dyDescent="0.45">
      <c r="T749" s="148"/>
      <c r="U749" s="148"/>
      <c r="V749" s="148"/>
      <c r="W749" s="148"/>
      <c r="X749" s="148"/>
      <c r="Y749" s="148"/>
      <c r="Z749" s="148"/>
      <c r="AA749" s="148"/>
      <c r="AB749" s="148"/>
      <c r="AC749" s="148"/>
      <c r="AD749" s="148"/>
      <c r="AE749" s="148"/>
      <c r="AF749" s="148"/>
      <c r="AG749" s="148"/>
      <c r="AH749" s="148"/>
      <c r="AI749" s="148"/>
      <c r="AJ749" s="148"/>
      <c r="AK749" s="148"/>
      <c r="AL749" s="148"/>
      <c r="AM749" s="148"/>
      <c r="AN749" s="148"/>
      <c r="AO749" s="148"/>
      <c r="AP749" s="148"/>
      <c r="AQ749" s="148"/>
      <c r="AR749" s="148"/>
      <c r="AS749" s="148"/>
      <c r="AT749" s="148"/>
      <c r="AU749" s="148"/>
      <c r="AV749" s="148"/>
      <c r="AW749" s="148"/>
      <c r="AX749" s="148"/>
      <c r="AY749" s="148"/>
      <c r="AZ749" s="148"/>
    </row>
    <row r="750" spans="20:52" x14ac:dyDescent="0.45">
      <c r="T750" s="148"/>
      <c r="U750" s="148"/>
      <c r="V750" s="148"/>
      <c r="W750" s="148"/>
      <c r="X750" s="148"/>
      <c r="Y750" s="148"/>
      <c r="Z750" s="148"/>
      <c r="AA750" s="148"/>
      <c r="AB750" s="148"/>
      <c r="AC750" s="148"/>
      <c r="AD750" s="148"/>
      <c r="AE750" s="148"/>
      <c r="AF750" s="148"/>
      <c r="AG750" s="148"/>
      <c r="AH750" s="148"/>
      <c r="AI750" s="148"/>
      <c r="AJ750" s="148"/>
      <c r="AK750" s="148"/>
      <c r="AL750" s="148"/>
      <c r="AM750" s="148"/>
      <c r="AN750" s="148"/>
      <c r="AO750" s="148"/>
      <c r="AP750" s="148"/>
      <c r="AQ750" s="148"/>
      <c r="AR750" s="148"/>
      <c r="AS750" s="148"/>
      <c r="AT750" s="148"/>
      <c r="AU750" s="148"/>
      <c r="AV750" s="148"/>
      <c r="AW750" s="148"/>
      <c r="AX750" s="148"/>
      <c r="AY750" s="148"/>
      <c r="AZ750" s="148"/>
    </row>
    <row r="751" spans="20:52" x14ac:dyDescent="0.45">
      <c r="T751" s="148"/>
      <c r="U751" s="148"/>
      <c r="V751" s="148"/>
      <c r="W751" s="148"/>
      <c r="X751" s="148"/>
      <c r="Y751" s="148"/>
      <c r="Z751" s="148"/>
      <c r="AA751" s="148"/>
      <c r="AB751" s="148"/>
      <c r="AC751" s="148"/>
      <c r="AD751" s="148"/>
      <c r="AE751" s="148"/>
      <c r="AF751" s="148"/>
      <c r="AG751" s="148"/>
      <c r="AH751" s="148"/>
      <c r="AI751" s="148"/>
      <c r="AJ751" s="148"/>
      <c r="AK751" s="148"/>
      <c r="AL751" s="148"/>
      <c r="AM751" s="148"/>
      <c r="AN751" s="148"/>
      <c r="AO751" s="148"/>
      <c r="AP751" s="148"/>
      <c r="AQ751" s="148"/>
      <c r="AR751" s="148"/>
      <c r="AS751" s="148"/>
      <c r="AT751" s="148"/>
      <c r="AU751" s="148"/>
      <c r="AV751" s="148"/>
      <c r="AW751" s="148"/>
      <c r="AX751" s="148"/>
      <c r="AY751" s="148"/>
      <c r="AZ751" s="148"/>
    </row>
    <row r="752" spans="20:52" x14ac:dyDescent="0.45">
      <c r="T752" s="148"/>
      <c r="U752" s="148"/>
      <c r="V752" s="148"/>
      <c r="W752" s="148"/>
      <c r="X752" s="148"/>
      <c r="Y752" s="148"/>
      <c r="Z752" s="148"/>
      <c r="AA752" s="148"/>
      <c r="AB752" s="148"/>
      <c r="AC752" s="148"/>
      <c r="AD752" s="148"/>
      <c r="AE752" s="148"/>
      <c r="AF752" s="148"/>
      <c r="AG752" s="148"/>
      <c r="AH752" s="148"/>
      <c r="AI752" s="148"/>
      <c r="AJ752" s="148"/>
      <c r="AK752" s="148"/>
      <c r="AL752" s="148"/>
      <c r="AM752" s="148"/>
      <c r="AN752" s="148"/>
      <c r="AO752" s="148"/>
      <c r="AP752" s="148"/>
      <c r="AQ752" s="148"/>
      <c r="AR752" s="148"/>
      <c r="AS752" s="148"/>
      <c r="AT752" s="148"/>
      <c r="AU752" s="148"/>
      <c r="AV752" s="148"/>
      <c r="AW752" s="148"/>
      <c r="AX752" s="148"/>
      <c r="AY752" s="148"/>
      <c r="AZ752" s="148"/>
    </row>
    <row r="753" spans="20:52" x14ac:dyDescent="0.45">
      <c r="T753" s="148"/>
      <c r="U753" s="148"/>
      <c r="V753" s="148"/>
      <c r="W753" s="148"/>
      <c r="X753" s="148"/>
      <c r="Y753" s="148"/>
      <c r="Z753" s="148"/>
      <c r="AA753" s="148"/>
      <c r="AB753" s="148"/>
      <c r="AC753" s="148"/>
      <c r="AD753" s="148"/>
      <c r="AE753" s="148"/>
      <c r="AF753" s="148"/>
      <c r="AG753" s="148"/>
      <c r="AH753" s="148"/>
      <c r="AI753" s="148"/>
      <c r="AJ753" s="148"/>
      <c r="AK753" s="148"/>
      <c r="AL753" s="148"/>
      <c r="AM753" s="148"/>
      <c r="AN753" s="148"/>
      <c r="AO753" s="148"/>
      <c r="AP753" s="148"/>
      <c r="AQ753" s="148"/>
      <c r="AR753" s="148"/>
      <c r="AS753" s="148"/>
      <c r="AT753" s="148"/>
      <c r="AU753" s="148"/>
      <c r="AV753" s="148"/>
      <c r="AW753" s="148"/>
      <c r="AX753" s="148"/>
      <c r="AY753" s="148"/>
      <c r="AZ753" s="148"/>
    </row>
    <row r="754" spans="20:52" x14ac:dyDescent="0.45">
      <c r="T754" s="148"/>
      <c r="U754" s="148"/>
      <c r="V754" s="148"/>
      <c r="W754" s="148"/>
      <c r="X754" s="148"/>
      <c r="Y754" s="148"/>
      <c r="Z754" s="148"/>
      <c r="AA754" s="148"/>
      <c r="AB754" s="148"/>
      <c r="AC754" s="148"/>
      <c r="AD754" s="148"/>
      <c r="AE754" s="148"/>
      <c r="AF754" s="148"/>
      <c r="AG754" s="148"/>
      <c r="AH754" s="148"/>
      <c r="AI754" s="148"/>
      <c r="AJ754" s="148"/>
      <c r="AK754" s="148"/>
      <c r="AL754" s="148"/>
      <c r="AM754" s="148"/>
      <c r="AN754" s="148"/>
      <c r="AO754" s="148"/>
      <c r="AP754" s="148"/>
      <c r="AQ754" s="148"/>
      <c r="AR754" s="148"/>
      <c r="AS754" s="148"/>
      <c r="AT754" s="148"/>
      <c r="AU754" s="148"/>
      <c r="AV754" s="148"/>
      <c r="AW754" s="148"/>
      <c r="AX754" s="148"/>
      <c r="AY754" s="148"/>
      <c r="AZ754" s="148"/>
    </row>
    <row r="755" spans="20:52" x14ac:dyDescent="0.45">
      <c r="T755" s="148"/>
      <c r="U755" s="148"/>
      <c r="V755" s="148"/>
      <c r="W755" s="148"/>
      <c r="X755" s="148"/>
      <c r="Y755" s="148"/>
      <c r="Z755" s="148"/>
      <c r="AA755" s="148"/>
      <c r="AB755" s="148"/>
      <c r="AC755" s="148"/>
      <c r="AD755" s="148"/>
      <c r="AE755" s="148"/>
      <c r="AF755" s="148"/>
      <c r="AG755" s="148"/>
      <c r="AH755" s="148"/>
      <c r="AI755" s="148"/>
      <c r="AJ755" s="148"/>
      <c r="AK755" s="148"/>
      <c r="AL755" s="148"/>
      <c r="AM755" s="148"/>
      <c r="AN755" s="148"/>
      <c r="AO755" s="148"/>
      <c r="AP755" s="148"/>
      <c r="AQ755" s="148"/>
      <c r="AR755" s="148"/>
      <c r="AS755" s="148"/>
      <c r="AT755" s="148"/>
      <c r="AU755" s="148"/>
      <c r="AV755" s="148"/>
      <c r="AW755" s="148"/>
      <c r="AX755" s="148"/>
      <c r="AY755" s="148"/>
      <c r="AZ755" s="148"/>
    </row>
    <row r="756" spans="20:52" x14ac:dyDescent="0.45">
      <c r="T756" s="148"/>
      <c r="U756" s="148"/>
      <c r="V756" s="148"/>
      <c r="W756" s="148"/>
      <c r="X756" s="148"/>
      <c r="Y756" s="148"/>
      <c r="Z756" s="148"/>
      <c r="AA756" s="148"/>
      <c r="AB756" s="148"/>
      <c r="AC756" s="148"/>
      <c r="AD756" s="148"/>
      <c r="AE756" s="148"/>
      <c r="AF756" s="148"/>
      <c r="AG756" s="148"/>
      <c r="AH756" s="148"/>
      <c r="AI756" s="148"/>
      <c r="AJ756" s="148"/>
      <c r="AK756" s="148"/>
      <c r="AL756" s="148"/>
      <c r="AM756" s="148"/>
      <c r="AN756" s="148"/>
      <c r="AO756" s="148"/>
      <c r="AP756" s="148"/>
      <c r="AQ756" s="148"/>
      <c r="AR756" s="148"/>
      <c r="AS756" s="148"/>
      <c r="AT756" s="148"/>
      <c r="AU756" s="148"/>
      <c r="AV756" s="148"/>
      <c r="AW756" s="148"/>
      <c r="AX756" s="148"/>
      <c r="AY756" s="148"/>
      <c r="AZ756" s="148"/>
    </row>
    <row r="757" spans="20:52" x14ac:dyDescent="0.45">
      <c r="T757" s="148"/>
      <c r="U757" s="148"/>
      <c r="V757" s="148"/>
      <c r="W757" s="148"/>
      <c r="X757" s="148"/>
      <c r="Y757" s="148"/>
      <c r="Z757" s="148"/>
      <c r="AA757" s="148"/>
      <c r="AB757" s="148"/>
      <c r="AC757" s="148"/>
      <c r="AD757" s="148"/>
      <c r="AE757" s="148"/>
      <c r="AF757" s="148"/>
      <c r="AG757" s="148"/>
      <c r="AH757" s="148"/>
      <c r="AI757" s="148"/>
      <c r="AJ757" s="148"/>
      <c r="AK757" s="148"/>
      <c r="AL757" s="148"/>
      <c r="AM757" s="148"/>
      <c r="AN757" s="148"/>
      <c r="AO757" s="148"/>
      <c r="AP757" s="148"/>
      <c r="AQ757" s="148"/>
      <c r="AR757" s="148"/>
      <c r="AS757" s="148"/>
      <c r="AT757" s="148"/>
      <c r="AU757" s="148"/>
      <c r="AV757" s="148"/>
      <c r="AW757" s="148"/>
      <c r="AX757" s="148"/>
      <c r="AY757" s="148"/>
      <c r="AZ757" s="148"/>
    </row>
    <row r="758" spans="20:52" x14ac:dyDescent="0.45">
      <c r="T758" s="148"/>
      <c r="U758" s="148"/>
      <c r="V758" s="148"/>
      <c r="W758" s="148"/>
      <c r="X758" s="148"/>
      <c r="Y758" s="148"/>
      <c r="Z758" s="148"/>
      <c r="AA758" s="148"/>
      <c r="AB758" s="148"/>
      <c r="AC758" s="148"/>
      <c r="AD758" s="148"/>
      <c r="AE758" s="148"/>
      <c r="AF758" s="148"/>
      <c r="AG758" s="148"/>
      <c r="AH758" s="148"/>
      <c r="AI758" s="148"/>
      <c r="AJ758" s="148"/>
      <c r="AK758" s="148"/>
      <c r="AL758" s="148"/>
      <c r="AM758" s="148"/>
      <c r="AN758" s="148"/>
      <c r="AO758" s="148"/>
      <c r="AP758" s="148"/>
      <c r="AQ758" s="148"/>
      <c r="AR758" s="148"/>
      <c r="AS758" s="148"/>
      <c r="AT758" s="148"/>
      <c r="AU758" s="148"/>
      <c r="AV758" s="148"/>
      <c r="AW758" s="148"/>
      <c r="AX758" s="148"/>
      <c r="AY758" s="148"/>
      <c r="AZ758" s="148"/>
    </row>
    <row r="759" spans="20:52" x14ac:dyDescent="0.45">
      <c r="T759" s="148"/>
      <c r="U759" s="148"/>
      <c r="V759" s="148"/>
      <c r="W759" s="148"/>
      <c r="X759" s="148"/>
      <c r="Y759" s="148"/>
      <c r="Z759" s="148"/>
      <c r="AA759" s="148"/>
      <c r="AB759" s="148"/>
      <c r="AC759" s="148"/>
      <c r="AD759" s="148"/>
      <c r="AE759" s="148"/>
      <c r="AF759" s="148"/>
      <c r="AG759" s="148"/>
      <c r="AH759" s="148"/>
      <c r="AI759" s="148"/>
      <c r="AJ759" s="148"/>
      <c r="AK759" s="148"/>
      <c r="AL759" s="148"/>
      <c r="AM759" s="148"/>
      <c r="AN759" s="148"/>
      <c r="AO759" s="148"/>
      <c r="AP759" s="148"/>
      <c r="AQ759" s="148"/>
      <c r="AR759" s="148"/>
      <c r="AS759" s="148"/>
      <c r="AT759" s="148"/>
      <c r="AU759" s="148"/>
      <c r="AV759" s="148"/>
      <c r="AW759" s="148"/>
      <c r="AX759" s="148"/>
      <c r="AY759" s="148"/>
      <c r="AZ759" s="148"/>
    </row>
    <row r="760" spans="20:52" x14ac:dyDescent="0.45">
      <c r="T760" s="148"/>
      <c r="U760" s="148"/>
      <c r="V760" s="148"/>
      <c r="W760" s="148"/>
      <c r="X760" s="148"/>
      <c r="Y760" s="148"/>
      <c r="Z760" s="148"/>
      <c r="AA760" s="148"/>
      <c r="AB760" s="148"/>
      <c r="AC760" s="148"/>
      <c r="AD760" s="148"/>
      <c r="AE760" s="148"/>
      <c r="AF760" s="148"/>
      <c r="AG760" s="148"/>
      <c r="AH760" s="148"/>
      <c r="AI760" s="148"/>
      <c r="AJ760" s="148"/>
      <c r="AK760" s="148"/>
      <c r="AL760" s="148"/>
      <c r="AM760" s="148"/>
      <c r="AN760" s="148"/>
      <c r="AO760" s="148"/>
      <c r="AP760" s="148"/>
      <c r="AQ760" s="148"/>
      <c r="AR760" s="148"/>
      <c r="AS760" s="148"/>
      <c r="AT760" s="148"/>
      <c r="AU760" s="148"/>
      <c r="AV760" s="148"/>
      <c r="AW760" s="148"/>
      <c r="AX760" s="148"/>
      <c r="AY760" s="148"/>
      <c r="AZ760" s="148"/>
    </row>
    <row r="761" spans="20:52" x14ac:dyDescent="0.45">
      <c r="T761" s="148"/>
      <c r="U761" s="148"/>
      <c r="V761" s="148"/>
      <c r="W761" s="148"/>
      <c r="X761" s="148"/>
      <c r="Y761" s="148"/>
      <c r="Z761" s="148"/>
      <c r="AA761" s="148"/>
      <c r="AB761" s="148"/>
      <c r="AC761" s="148"/>
      <c r="AD761" s="148"/>
      <c r="AE761" s="148"/>
      <c r="AF761" s="148"/>
      <c r="AG761" s="148"/>
      <c r="AH761" s="148"/>
      <c r="AI761" s="148"/>
      <c r="AJ761" s="148"/>
      <c r="AK761" s="148"/>
      <c r="AL761" s="148"/>
      <c r="AM761" s="148"/>
      <c r="AN761" s="148"/>
      <c r="AO761" s="148"/>
      <c r="AP761" s="148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</row>
    <row r="762" spans="20:52" x14ac:dyDescent="0.45">
      <c r="T762" s="148"/>
      <c r="U762" s="148"/>
      <c r="V762" s="148"/>
      <c r="W762" s="148"/>
      <c r="X762" s="148"/>
      <c r="Y762" s="148"/>
      <c r="Z762" s="148"/>
      <c r="AA762" s="148"/>
      <c r="AB762" s="148"/>
      <c r="AC762" s="148"/>
      <c r="AD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</row>
    <row r="763" spans="20:52" x14ac:dyDescent="0.45">
      <c r="T763" s="148"/>
      <c r="U763" s="148"/>
      <c r="V763" s="148"/>
      <c r="W763" s="148"/>
      <c r="X763" s="148"/>
      <c r="Y763" s="148"/>
      <c r="Z763" s="148"/>
      <c r="AA763" s="148"/>
      <c r="AB763" s="148"/>
      <c r="AC763" s="148"/>
      <c r="AD763" s="148"/>
      <c r="AE763" s="148"/>
      <c r="AF763" s="148"/>
      <c r="AG763" s="148"/>
      <c r="AH763" s="148"/>
      <c r="AI763" s="148"/>
      <c r="AJ763" s="148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</row>
    <row r="764" spans="20:52" x14ac:dyDescent="0.45">
      <c r="T764" s="148"/>
      <c r="U764" s="148"/>
      <c r="V764" s="148"/>
      <c r="W764" s="148"/>
      <c r="X764" s="148"/>
      <c r="Y764" s="148"/>
      <c r="Z764" s="148"/>
      <c r="AA764" s="148"/>
      <c r="AB764" s="148"/>
      <c r="AC764" s="148"/>
      <c r="AD764" s="148"/>
      <c r="AE764" s="148"/>
      <c r="AF764" s="148"/>
      <c r="AG764" s="148"/>
      <c r="AH764" s="148"/>
      <c r="AI764" s="148"/>
      <c r="AJ764" s="148"/>
      <c r="AK764" s="148"/>
      <c r="AL764" s="148"/>
      <c r="AM764" s="148"/>
      <c r="AN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</row>
    <row r="765" spans="20:52" x14ac:dyDescent="0.45">
      <c r="T765" s="148"/>
      <c r="U765" s="148"/>
      <c r="V765" s="148"/>
      <c r="W765" s="148"/>
      <c r="X765" s="148"/>
      <c r="Y765" s="148"/>
      <c r="Z765" s="148"/>
      <c r="AA765" s="148"/>
      <c r="AB765" s="148"/>
      <c r="AC765" s="148"/>
      <c r="AD765" s="148"/>
      <c r="AE765" s="148"/>
      <c r="AF765" s="148"/>
      <c r="AG765" s="148"/>
      <c r="AH765" s="148"/>
      <c r="AI765" s="148"/>
      <c r="AJ765" s="148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</row>
    <row r="766" spans="20:52" x14ac:dyDescent="0.45">
      <c r="T766" s="148"/>
      <c r="U766" s="148"/>
      <c r="V766" s="148"/>
      <c r="W766" s="148"/>
      <c r="X766" s="148"/>
      <c r="Y766" s="148"/>
      <c r="Z766" s="148"/>
      <c r="AA766" s="148"/>
      <c r="AB766" s="148"/>
      <c r="AC766" s="148"/>
      <c r="AD766" s="148"/>
      <c r="AE766" s="148"/>
      <c r="AF766" s="148"/>
      <c r="AG766" s="148"/>
      <c r="AH766" s="148"/>
      <c r="AI766" s="148"/>
      <c r="AJ766" s="148"/>
      <c r="AK766" s="148"/>
      <c r="AL766" s="148"/>
      <c r="AM766" s="148"/>
      <c r="AN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</row>
    <row r="767" spans="20:52" x14ac:dyDescent="0.45">
      <c r="T767" s="148"/>
      <c r="U767" s="148"/>
      <c r="V767" s="148"/>
      <c r="W767" s="148"/>
      <c r="X767" s="148"/>
      <c r="Y767" s="148"/>
      <c r="Z767" s="148"/>
      <c r="AA767" s="148"/>
      <c r="AB767" s="148"/>
      <c r="AC767" s="148"/>
      <c r="AD767" s="148"/>
      <c r="AE767" s="148"/>
      <c r="AF767" s="148"/>
      <c r="AG767" s="148"/>
      <c r="AH767" s="148"/>
      <c r="AI767" s="148"/>
      <c r="AJ767" s="148"/>
      <c r="AK767" s="148"/>
      <c r="AL767" s="148"/>
      <c r="AM767" s="148"/>
      <c r="AN767" s="148"/>
      <c r="AO767" s="148"/>
      <c r="AP767" s="148"/>
      <c r="AQ767" s="148"/>
      <c r="AR767" s="148"/>
      <c r="AS767" s="148"/>
      <c r="AT767" s="148"/>
      <c r="AU767" s="148"/>
      <c r="AV767" s="148"/>
      <c r="AW767" s="148"/>
      <c r="AX767" s="148"/>
      <c r="AY767" s="148"/>
      <c r="AZ767" s="148"/>
    </row>
    <row r="768" spans="20:52" x14ac:dyDescent="0.45">
      <c r="T768" s="148"/>
      <c r="U768" s="148"/>
      <c r="V768" s="148"/>
      <c r="W768" s="148"/>
      <c r="X768" s="148"/>
      <c r="Y768" s="148"/>
      <c r="Z768" s="148"/>
      <c r="AA768" s="148"/>
      <c r="AB768" s="148"/>
      <c r="AC768" s="148"/>
      <c r="AD768" s="148"/>
      <c r="AE768" s="148"/>
      <c r="AF768" s="148"/>
      <c r="AG768" s="148"/>
      <c r="AH768" s="148"/>
      <c r="AI768" s="148"/>
      <c r="AJ768" s="148"/>
      <c r="AK768" s="148"/>
      <c r="AL768" s="148"/>
      <c r="AM768" s="148"/>
      <c r="AN768" s="148"/>
      <c r="AO768" s="148"/>
      <c r="AP768" s="148"/>
      <c r="AQ768" s="148"/>
      <c r="AR768" s="148"/>
      <c r="AS768" s="148"/>
      <c r="AT768" s="148"/>
      <c r="AU768" s="148"/>
      <c r="AV768" s="148"/>
      <c r="AW768" s="148"/>
      <c r="AX768" s="148"/>
      <c r="AY768" s="148"/>
      <c r="AZ768" s="148"/>
    </row>
    <row r="769" spans="20:52" x14ac:dyDescent="0.45">
      <c r="T769" s="148"/>
      <c r="U769" s="148"/>
      <c r="V769" s="148"/>
      <c r="W769" s="148"/>
      <c r="X769" s="148"/>
      <c r="Y769" s="148"/>
      <c r="Z769" s="148"/>
      <c r="AA769" s="148"/>
      <c r="AB769" s="148"/>
      <c r="AC769" s="148"/>
      <c r="AD769" s="148"/>
      <c r="AE769" s="148"/>
      <c r="AF769" s="148"/>
      <c r="AG769" s="148"/>
      <c r="AH769" s="148"/>
      <c r="AI769" s="148"/>
      <c r="AJ769" s="148"/>
      <c r="AK769" s="148"/>
      <c r="AL769" s="148"/>
      <c r="AM769" s="148"/>
      <c r="AN769" s="148"/>
      <c r="AO769" s="148"/>
      <c r="AP769" s="148"/>
      <c r="AQ769" s="148"/>
      <c r="AR769" s="148"/>
      <c r="AS769" s="148"/>
      <c r="AT769" s="148"/>
      <c r="AU769" s="148"/>
      <c r="AV769" s="148"/>
      <c r="AW769" s="148"/>
      <c r="AX769" s="148"/>
      <c r="AY769" s="148"/>
      <c r="AZ769" s="148"/>
    </row>
    <row r="770" spans="20:52" x14ac:dyDescent="0.45">
      <c r="T770" s="148"/>
      <c r="U770" s="148"/>
      <c r="V770" s="148"/>
      <c r="W770" s="14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/>
      <c r="AH770" s="148"/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</row>
    <row r="771" spans="20:52" x14ac:dyDescent="0.45">
      <c r="T771" s="148"/>
      <c r="U771" s="148"/>
      <c r="V771" s="148"/>
      <c r="W771" s="148"/>
      <c r="X771" s="148"/>
      <c r="Y771" s="148"/>
      <c r="Z771" s="148"/>
      <c r="AA771" s="148"/>
      <c r="AB771" s="148"/>
      <c r="AC771" s="148"/>
      <c r="AD771" s="148"/>
      <c r="AE771" s="148"/>
      <c r="AF771" s="148"/>
      <c r="AG771" s="148"/>
      <c r="AH771" s="148"/>
      <c r="AI771" s="148"/>
      <c r="AJ771" s="148"/>
      <c r="AK771" s="148"/>
      <c r="AL771" s="148"/>
      <c r="AM771" s="148"/>
      <c r="AN771" s="148"/>
      <c r="AO771" s="148"/>
      <c r="AP771" s="148"/>
      <c r="AQ771" s="148"/>
      <c r="AR771" s="148"/>
      <c r="AS771" s="148"/>
      <c r="AT771" s="148"/>
      <c r="AU771" s="148"/>
      <c r="AV771" s="148"/>
      <c r="AW771" s="148"/>
      <c r="AX771" s="148"/>
      <c r="AY771" s="148"/>
      <c r="AZ771" s="148"/>
    </row>
    <row r="772" spans="20:52" x14ac:dyDescent="0.45">
      <c r="T772" s="148"/>
      <c r="U772" s="148"/>
      <c r="V772" s="148"/>
      <c r="W772" s="148"/>
      <c r="X772" s="148"/>
      <c r="Y772" s="148"/>
      <c r="Z772" s="148"/>
      <c r="AA772" s="148"/>
      <c r="AB772" s="148"/>
      <c r="AC772" s="148"/>
      <c r="AD772" s="148"/>
      <c r="AE772" s="148"/>
      <c r="AF772" s="148"/>
      <c r="AG772" s="148"/>
      <c r="AH772" s="148"/>
      <c r="AI772" s="148"/>
      <c r="AJ772" s="148"/>
      <c r="AK772" s="148"/>
      <c r="AL772" s="148"/>
      <c r="AM772" s="148"/>
      <c r="AN772" s="148"/>
      <c r="AO772" s="148"/>
      <c r="AP772" s="148"/>
      <c r="AQ772" s="148"/>
      <c r="AR772" s="148"/>
      <c r="AS772" s="148"/>
      <c r="AT772" s="148"/>
      <c r="AU772" s="148"/>
      <c r="AV772" s="148"/>
      <c r="AW772" s="148"/>
      <c r="AX772" s="148"/>
      <c r="AY772" s="148"/>
      <c r="AZ772" s="148"/>
    </row>
    <row r="773" spans="20:52" x14ac:dyDescent="0.45">
      <c r="T773" s="148"/>
      <c r="U773" s="148"/>
      <c r="V773" s="148"/>
      <c r="W773" s="148"/>
      <c r="X773" s="148"/>
      <c r="Y773" s="148"/>
      <c r="Z773" s="148"/>
      <c r="AA773" s="148"/>
      <c r="AB773" s="148"/>
      <c r="AC773" s="148"/>
      <c r="AD773" s="148"/>
      <c r="AE773" s="148"/>
      <c r="AF773" s="148"/>
      <c r="AG773" s="148"/>
      <c r="AH773" s="148"/>
      <c r="AI773" s="148"/>
      <c r="AJ773" s="148"/>
      <c r="AK773" s="148"/>
      <c r="AL773" s="148"/>
      <c r="AM773" s="148"/>
      <c r="AN773" s="148"/>
      <c r="AO773" s="148"/>
      <c r="AP773" s="148"/>
      <c r="AQ773" s="148"/>
      <c r="AR773" s="148"/>
      <c r="AS773" s="148"/>
      <c r="AT773" s="148"/>
      <c r="AU773" s="148"/>
      <c r="AV773" s="148"/>
      <c r="AW773" s="148"/>
      <c r="AX773" s="148"/>
      <c r="AY773" s="148"/>
      <c r="AZ773" s="148"/>
    </row>
    <row r="774" spans="20:52" x14ac:dyDescent="0.45">
      <c r="T774" s="148"/>
      <c r="U774" s="148"/>
      <c r="V774" s="148"/>
      <c r="W774" s="148"/>
      <c r="X774" s="148"/>
      <c r="Y774" s="148"/>
      <c r="Z774" s="148"/>
      <c r="AA774" s="148"/>
      <c r="AB774" s="148"/>
      <c r="AC774" s="148"/>
      <c r="AD774" s="148"/>
      <c r="AE774" s="148"/>
      <c r="AF774" s="148"/>
      <c r="AG774" s="148"/>
      <c r="AH774" s="148"/>
      <c r="AI774" s="148"/>
      <c r="AJ774" s="148"/>
      <c r="AK774" s="148"/>
      <c r="AL774" s="148"/>
      <c r="AM774" s="148"/>
      <c r="AN774" s="148"/>
      <c r="AO774" s="148"/>
      <c r="AP774" s="148"/>
      <c r="AQ774" s="148"/>
      <c r="AR774" s="148"/>
      <c r="AS774" s="148"/>
      <c r="AT774" s="148"/>
      <c r="AU774" s="148"/>
      <c r="AV774" s="148"/>
      <c r="AW774" s="148"/>
      <c r="AX774" s="148"/>
      <c r="AY774" s="148"/>
      <c r="AZ774" s="148"/>
    </row>
    <row r="775" spans="20:52" x14ac:dyDescent="0.45">
      <c r="T775" s="148"/>
      <c r="U775" s="148"/>
      <c r="V775" s="148"/>
      <c r="W775" s="148"/>
      <c r="X775" s="148"/>
      <c r="Y775" s="148"/>
      <c r="Z775" s="148"/>
      <c r="AA775" s="148"/>
      <c r="AB775" s="148"/>
      <c r="AC775" s="148"/>
      <c r="AD775" s="148"/>
      <c r="AE775" s="148"/>
      <c r="AF775" s="148"/>
      <c r="AG775" s="148"/>
      <c r="AH775" s="148"/>
      <c r="AI775" s="148"/>
      <c r="AJ775" s="148"/>
      <c r="AK775" s="148"/>
      <c r="AL775" s="148"/>
      <c r="AM775" s="148"/>
      <c r="AN775" s="148"/>
      <c r="AO775" s="148"/>
      <c r="AP775" s="148"/>
      <c r="AQ775" s="148"/>
      <c r="AR775" s="148"/>
      <c r="AS775" s="148"/>
      <c r="AT775" s="148"/>
      <c r="AU775" s="148"/>
      <c r="AV775" s="148"/>
      <c r="AW775" s="148"/>
      <c r="AX775" s="148"/>
      <c r="AY775" s="148"/>
      <c r="AZ775" s="148"/>
    </row>
    <row r="776" spans="20:52" x14ac:dyDescent="0.45">
      <c r="T776" s="148"/>
      <c r="U776" s="148"/>
      <c r="V776" s="148"/>
      <c r="W776" s="148"/>
      <c r="X776" s="148"/>
      <c r="Y776" s="148"/>
      <c r="Z776" s="148"/>
      <c r="AA776" s="148"/>
      <c r="AB776" s="148"/>
      <c r="AC776" s="148"/>
      <c r="AD776" s="148"/>
      <c r="AE776" s="148"/>
      <c r="AF776" s="148"/>
      <c r="AG776" s="148"/>
      <c r="AH776" s="148"/>
      <c r="AI776" s="148"/>
      <c r="AJ776" s="148"/>
      <c r="AK776" s="148"/>
      <c r="AL776" s="148"/>
      <c r="AM776" s="148"/>
      <c r="AN776" s="148"/>
      <c r="AO776" s="148"/>
      <c r="AP776" s="148"/>
      <c r="AQ776" s="148"/>
      <c r="AR776" s="148"/>
      <c r="AS776" s="148"/>
      <c r="AT776" s="148"/>
      <c r="AU776" s="148"/>
      <c r="AV776" s="148"/>
      <c r="AW776" s="148"/>
      <c r="AX776" s="148"/>
      <c r="AY776" s="148"/>
      <c r="AZ776" s="148"/>
    </row>
    <row r="777" spans="20:52" x14ac:dyDescent="0.45">
      <c r="T777" s="148"/>
      <c r="U777" s="148"/>
      <c r="V777" s="148"/>
      <c r="W777" s="148"/>
      <c r="X777" s="148"/>
      <c r="Y777" s="148"/>
      <c r="Z777" s="148"/>
      <c r="AA777" s="148"/>
      <c r="AB777" s="148"/>
      <c r="AC777" s="148"/>
      <c r="AD777" s="148"/>
      <c r="AE777" s="148"/>
      <c r="AF777" s="148"/>
      <c r="AG777" s="148"/>
      <c r="AH777" s="148"/>
      <c r="AI777" s="148"/>
      <c r="AJ777" s="148"/>
      <c r="AK777" s="148"/>
      <c r="AL777" s="148"/>
      <c r="AM777" s="148"/>
      <c r="AN777" s="148"/>
      <c r="AO777" s="148"/>
      <c r="AP777" s="148"/>
      <c r="AQ777" s="148"/>
      <c r="AR777" s="148"/>
      <c r="AS777" s="148"/>
      <c r="AT777" s="148"/>
      <c r="AU777" s="148"/>
      <c r="AV777" s="148"/>
      <c r="AW777" s="148"/>
      <c r="AX777" s="148"/>
      <c r="AY777" s="148"/>
      <c r="AZ777" s="148"/>
    </row>
    <row r="778" spans="20:52" x14ac:dyDescent="0.45">
      <c r="T778" s="148"/>
      <c r="U778" s="148"/>
      <c r="V778" s="148"/>
      <c r="W778" s="148"/>
      <c r="X778" s="148"/>
      <c r="Y778" s="148"/>
      <c r="Z778" s="148"/>
      <c r="AA778" s="148"/>
      <c r="AB778" s="148"/>
      <c r="AC778" s="148"/>
      <c r="AD778" s="148"/>
      <c r="AE778" s="148"/>
      <c r="AF778" s="148"/>
      <c r="AG778" s="148"/>
      <c r="AH778" s="148"/>
      <c r="AI778" s="148"/>
      <c r="AJ778" s="148"/>
      <c r="AK778" s="148"/>
      <c r="AL778" s="148"/>
      <c r="AM778" s="148"/>
      <c r="AN778" s="148"/>
      <c r="AO778" s="148"/>
      <c r="AP778" s="148"/>
      <c r="AQ778" s="148"/>
      <c r="AR778" s="148"/>
      <c r="AS778" s="148"/>
      <c r="AT778" s="148"/>
      <c r="AU778" s="148"/>
      <c r="AV778" s="148"/>
      <c r="AW778" s="148"/>
      <c r="AX778" s="148"/>
      <c r="AY778" s="148"/>
      <c r="AZ778" s="148"/>
    </row>
    <row r="779" spans="20:52" x14ac:dyDescent="0.45">
      <c r="T779" s="148"/>
      <c r="U779" s="148"/>
      <c r="V779" s="148"/>
      <c r="W779" s="148"/>
      <c r="X779" s="148"/>
      <c r="Y779" s="148"/>
      <c r="Z779" s="148"/>
      <c r="AA779" s="148"/>
      <c r="AB779" s="148"/>
      <c r="AC779" s="148"/>
      <c r="AD779" s="148"/>
      <c r="AE779" s="148"/>
      <c r="AF779" s="148"/>
      <c r="AG779" s="148"/>
      <c r="AH779" s="148"/>
      <c r="AI779" s="148"/>
      <c r="AJ779" s="148"/>
      <c r="AK779" s="148"/>
      <c r="AL779" s="148"/>
      <c r="AM779" s="148"/>
      <c r="AN779" s="148"/>
      <c r="AO779" s="148"/>
      <c r="AP779" s="148"/>
      <c r="AQ779" s="148"/>
      <c r="AR779" s="148"/>
      <c r="AS779" s="148"/>
      <c r="AT779" s="148"/>
      <c r="AU779" s="148"/>
      <c r="AV779" s="148"/>
      <c r="AW779" s="148"/>
      <c r="AX779" s="148"/>
      <c r="AY779" s="148"/>
      <c r="AZ779" s="148"/>
    </row>
    <row r="780" spans="20:52" x14ac:dyDescent="0.45">
      <c r="T780" s="148"/>
      <c r="U780" s="148"/>
      <c r="V780" s="148"/>
      <c r="W780" s="148"/>
      <c r="X780" s="148"/>
      <c r="Y780" s="148"/>
      <c r="Z780" s="148"/>
      <c r="AA780" s="148"/>
      <c r="AB780" s="148"/>
      <c r="AC780" s="148"/>
      <c r="AD780" s="148"/>
      <c r="AE780" s="148"/>
      <c r="AF780" s="148"/>
      <c r="AG780" s="148"/>
      <c r="AH780" s="148"/>
      <c r="AI780" s="148"/>
      <c r="AJ780" s="148"/>
      <c r="AK780" s="148"/>
      <c r="AL780" s="148"/>
      <c r="AM780" s="148"/>
      <c r="AN780" s="148"/>
      <c r="AO780" s="148"/>
      <c r="AP780" s="148"/>
      <c r="AQ780" s="148"/>
      <c r="AR780" s="148"/>
      <c r="AS780" s="148"/>
      <c r="AT780" s="148"/>
      <c r="AU780" s="148"/>
      <c r="AV780" s="148"/>
      <c r="AW780" s="148"/>
      <c r="AX780" s="148"/>
      <c r="AY780" s="148"/>
      <c r="AZ780" s="148"/>
    </row>
    <row r="781" spans="20:52" x14ac:dyDescent="0.45">
      <c r="T781" s="148"/>
      <c r="U781" s="148"/>
      <c r="V781" s="148"/>
      <c r="W781" s="148"/>
      <c r="X781" s="148"/>
      <c r="Y781" s="148"/>
      <c r="Z781" s="148"/>
      <c r="AA781" s="148"/>
      <c r="AB781" s="148"/>
      <c r="AC781" s="148"/>
      <c r="AD781" s="148"/>
      <c r="AE781" s="148"/>
      <c r="AF781" s="148"/>
      <c r="AG781" s="148"/>
      <c r="AH781" s="148"/>
      <c r="AI781" s="148"/>
      <c r="AJ781" s="148"/>
      <c r="AK781" s="148"/>
      <c r="AL781" s="148"/>
      <c r="AM781" s="148"/>
      <c r="AN781" s="148"/>
      <c r="AO781" s="148"/>
      <c r="AP781" s="148"/>
      <c r="AQ781" s="148"/>
      <c r="AR781" s="148"/>
      <c r="AS781" s="148"/>
      <c r="AT781" s="148"/>
      <c r="AU781" s="148"/>
      <c r="AV781" s="148"/>
      <c r="AW781" s="148"/>
      <c r="AX781" s="148"/>
      <c r="AY781" s="148"/>
      <c r="AZ781" s="148"/>
    </row>
    <row r="782" spans="20:52" x14ac:dyDescent="0.45">
      <c r="T782" s="148"/>
      <c r="U782" s="148"/>
      <c r="V782" s="148"/>
      <c r="W782" s="148"/>
      <c r="X782" s="148"/>
      <c r="Y782" s="148"/>
      <c r="Z782" s="148"/>
      <c r="AA782" s="148"/>
      <c r="AB782" s="148"/>
      <c r="AC782" s="148"/>
      <c r="AD782" s="148"/>
      <c r="AE782" s="148"/>
      <c r="AF782" s="148"/>
      <c r="AG782" s="148"/>
      <c r="AH782" s="148"/>
      <c r="AI782" s="148"/>
      <c r="AJ782" s="148"/>
      <c r="AK782" s="148"/>
      <c r="AL782" s="148"/>
      <c r="AM782" s="148"/>
      <c r="AN782" s="148"/>
      <c r="AO782" s="148"/>
      <c r="AP782" s="148"/>
      <c r="AQ782" s="148"/>
      <c r="AR782" s="148"/>
      <c r="AS782" s="148"/>
      <c r="AT782" s="148"/>
      <c r="AU782" s="148"/>
      <c r="AV782" s="148"/>
      <c r="AW782" s="148"/>
      <c r="AX782" s="148"/>
      <c r="AY782" s="148"/>
      <c r="AZ782" s="148"/>
    </row>
    <row r="783" spans="20:52" x14ac:dyDescent="0.45">
      <c r="T783" s="148"/>
      <c r="U783" s="148"/>
      <c r="V783" s="148"/>
      <c r="W783" s="148"/>
      <c r="X783" s="148"/>
      <c r="Y783" s="148"/>
      <c r="Z783" s="148"/>
      <c r="AA783" s="148"/>
      <c r="AB783" s="148"/>
      <c r="AC783" s="148"/>
      <c r="AD783" s="148"/>
      <c r="AE783" s="148"/>
      <c r="AF783" s="148"/>
      <c r="AG783" s="148"/>
      <c r="AH783" s="148"/>
      <c r="AI783" s="148"/>
      <c r="AJ783" s="148"/>
      <c r="AK783" s="148"/>
      <c r="AL783" s="148"/>
      <c r="AM783" s="148"/>
      <c r="AN783" s="148"/>
      <c r="AO783" s="148"/>
      <c r="AP783" s="148"/>
      <c r="AQ783" s="148"/>
      <c r="AR783" s="148"/>
      <c r="AS783" s="148"/>
      <c r="AT783" s="148"/>
      <c r="AU783" s="148"/>
      <c r="AV783" s="148"/>
      <c r="AW783" s="148"/>
      <c r="AX783" s="148"/>
      <c r="AY783" s="148"/>
      <c r="AZ783" s="148"/>
    </row>
    <row r="784" spans="20:52" x14ac:dyDescent="0.45">
      <c r="T784" s="148"/>
      <c r="U784" s="148"/>
      <c r="V784" s="148"/>
      <c r="W784" s="148"/>
      <c r="X784" s="148"/>
      <c r="Y784" s="148"/>
      <c r="Z784" s="148"/>
      <c r="AA784" s="148"/>
      <c r="AB784" s="148"/>
      <c r="AC784" s="148"/>
      <c r="AD784" s="148"/>
      <c r="AE784" s="148"/>
      <c r="AF784" s="148"/>
      <c r="AG784" s="148"/>
      <c r="AH784" s="148"/>
      <c r="AI784" s="148"/>
      <c r="AJ784" s="148"/>
      <c r="AK784" s="148"/>
      <c r="AL784" s="148"/>
      <c r="AM784" s="148"/>
      <c r="AN784" s="148"/>
      <c r="AO784" s="148"/>
      <c r="AP784" s="148"/>
      <c r="AQ784" s="148"/>
      <c r="AR784" s="148"/>
      <c r="AS784" s="148"/>
      <c r="AT784" s="148"/>
      <c r="AU784" s="148"/>
      <c r="AV784" s="148"/>
      <c r="AW784" s="148"/>
      <c r="AX784" s="148"/>
      <c r="AY784" s="148"/>
      <c r="AZ784" s="148"/>
    </row>
    <row r="785" spans="20:52" x14ac:dyDescent="0.45">
      <c r="T785" s="148"/>
      <c r="U785" s="148"/>
      <c r="V785" s="148"/>
      <c r="W785" s="148"/>
      <c r="X785" s="148"/>
      <c r="Y785" s="148"/>
      <c r="Z785" s="148"/>
      <c r="AA785" s="148"/>
      <c r="AB785" s="148"/>
      <c r="AC785" s="148"/>
      <c r="AD785" s="148"/>
      <c r="AE785" s="148"/>
      <c r="AF785" s="148"/>
      <c r="AG785" s="148"/>
      <c r="AH785" s="148"/>
      <c r="AI785" s="148"/>
      <c r="AJ785" s="148"/>
      <c r="AK785" s="148"/>
      <c r="AL785" s="148"/>
      <c r="AM785" s="148"/>
      <c r="AN785" s="148"/>
      <c r="AO785" s="148"/>
      <c r="AP785" s="148"/>
      <c r="AQ785" s="148"/>
      <c r="AR785" s="148"/>
      <c r="AS785" s="148"/>
      <c r="AT785" s="148"/>
      <c r="AU785" s="148"/>
      <c r="AV785" s="148"/>
      <c r="AW785" s="148"/>
      <c r="AX785" s="148"/>
      <c r="AY785" s="148"/>
      <c r="AZ785" s="148"/>
    </row>
    <row r="786" spans="20:52" x14ac:dyDescent="0.45">
      <c r="T786" s="148"/>
      <c r="U786" s="148"/>
      <c r="V786" s="148"/>
      <c r="W786" s="148"/>
      <c r="X786" s="148"/>
      <c r="Y786" s="148"/>
      <c r="Z786" s="148"/>
      <c r="AA786" s="148"/>
      <c r="AB786" s="148"/>
      <c r="AC786" s="148"/>
      <c r="AD786" s="148"/>
      <c r="AE786" s="148"/>
      <c r="AF786" s="148"/>
      <c r="AG786" s="148"/>
      <c r="AH786" s="148"/>
      <c r="AI786" s="148"/>
      <c r="AJ786" s="148"/>
      <c r="AK786" s="148"/>
      <c r="AL786" s="148"/>
      <c r="AM786" s="148"/>
      <c r="AN786" s="148"/>
      <c r="AO786" s="148"/>
      <c r="AP786" s="148"/>
      <c r="AQ786" s="148"/>
      <c r="AR786" s="148"/>
      <c r="AS786" s="148"/>
      <c r="AT786" s="148"/>
      <c r="AU786" s="148"/>
      <c r="AV786" s="148"/>
      <c r="AW786" s="148"/>
      <c r="AX786" s="148"/>
      <c r="AY786" s="148"/>
      <c r="AZ786" s="148"/>
    </row>
    <row r="787" spans="20:52" x14ac:dyDescent="0.45">
      <c r="T787" s="148"/>
      <c r="U787" s="148"/>
      <c r="V787" s="148"/>
      <c r="W787" s="148"/>
      <c r="X787" s="148"/>
      <c r="Y787" s="148"/>
      <c r="Z787" s="148"/>
      <c r="AA787" s="148"/>
      <c r="AB787" s="148"/>
      <c r="AC787" s="148"/>
      <c r="AD787" s="148"/>
      <c r="AE787" s="148"/>
      <c r="AF787" s="148"/>
      <c r="AG787" s="148"/>
      <c r="AH787" s="148"/>
      <c r="AI787" s="148"/>
      <c r="AJ787" s="148"/>
      <c r="AK787" s="148"/>
      <c r="AL787" s="148"/>
      <c r="AM787" s="148"/>
      <c r="AN787" s="148"/>
      <c r="AO787" s="148"/>
      <c r="AP787" s="148"/>
      <c r="AQ787" s="148"/>
      <c r="AR787" s="148"/>
      <c r="AS787" s="148"/>
      <c r="AT787" s="148"/>
      <c r="AU787" s="148"/>
      <c r="AV787" s="148"/>
      <c r="AW787" s="148"/>
      <c r="AX787" s="148"/>
      <c r="AY787" s="148"/>
      <c r="AZ787" s="148"/>
    </row>
    <row r="788" spans="20:52" x14ac:dyDescent="0.45">
      <c r="T788" s="148"/>
      <c r="U788" s="148"/>
      <c r="V788" s="148"/>
      <c r="W788" s="148"/>
      <c r="X788" s="148"/>
      <c r="Y788" s="148"/>
      <c r="Z788" s="148"/>
      <c r="AA788" s="148"/>
      <c r="AB788" s="148"/>
      <c r="AC788" s="148"/>
      <c r="AD788" s="148"/>
      <c r="AE788" s="148"/>
      <c r="AF788" s="148"/>
      <c r="AG788" s="148"/>
      <c r="AH788" s="148"/>
      <c r="AI788" s="148"/>
      <c r="AJ788" s="148"/>
      <c r="AK788" s="148"/>
      <c r="AL788" s="148"/>
      <c r="AM788" s="148"/>
      <c r="AN788" s="148"/>
      <c r="AO788" s="148"/>
      <c r="AP788" s="148"/>
      <c r="AQ788" s="148"/>
      <c r="AR788" s="148"/>
      <c r="AS788" s="148"/>
      <c r="AT788" s="148"/>
      <c r="AU788" s="148"/>
      <c r="AV788" s="148"/>
      <c r="AW788" s="148"/>
      <c r="AX788" s="148"/>
      <c r="AY788" s="148"/>
      <c r="AZ788" s="148"/>
    </row>
    <row r="789" spans="20:52" x14ac:dyDescent="0.45">
      <c r="T789" s="148"/>
      <c r="U789" s="148"/>
      <c r="V789" s="148"/>
      <c r="W789" s="148"/>
      <c r="X789" s="148"/>
      <c r="Y789" s="148"/>
      <c r="Z789" s="148"/>
      <c r="AA789" s="148"/>
      <c r="AB789" s="148"/>
      <c r="AC789" s="148"/>
      <c r="AD789" s="148"/>
      <c r="AE789" s="148"/>
      <c r="AF789" s="148"/>
      <c r="AG789" s="148"/>
      <c r="AH789" s="148"/>
      <c r="AI789" s="148"/>
      <c r="AJ789" s="148"/>
      <c r="AK789" s="148"/>
      <c r="AL789" s="148"/>
      <c r="AM789" s="148"/>
      <c r="AN789" s="148"/>
      <c r="AO789" s="148"/>
      <c r="AP789" s="148"/>
      <c r="AQ789" s="148"/>
      <c r="AR789" s="148"/>
      <c r="AS789" s="148"/>
      <c r="AT789" s="148"/>
      <c r="AU789" s="148"/>
      <c r="AV789" s="148"/>
      <c r="AW789" s="148"/>
      <c r="AX789" s="148"/>
      <c r="AY789" s="148"/>
      <c r="AZ789" s="148"/>
    </row>
    <row r="790" spans="20:52" x14ac:dyDescent="0.45">
      <c r="T790" s="148"/>
      <c r="U790" s="148"/>
      <c r="V790" s="148"/>
      <c r="W790" s="148"/>
      <c r="X790" s="148"/>
      <c r="Y790" s="148"/>
      <c r="Z790" s="148"/>
      <c r="AA790" s="148"/>
      <c r="AB790" s="148"/>
      <c r="AC790" s="148"/>
      <c r="AD790" s="148"/>
      <c r="AE790" s="148"/>
      <c r="AF790" s="148"/>
      <c r="AG790" s="148"/>
      <c r="AH790" s="148"/>
      <c r="AI790" s="148"/>
      <c r="AJ790" s="148"/>
      <c r="AK790" s="148"/>
      <c r="AL790" s="148"/>
      <c r="AM790" s="148"/>
      <c r="AN790" s="148"/>
      <c r="AO790" s="148"/>
      <c r="AP790" s="148"/>
      <c r="AQ790" s="148"/>
      <c r="AR790" s="148"/>
      <c r="AS790" s="148"/>
      <c r="AT790" s="148"/>
      <c r="AU790" s="148"/>
      <c r="AV790" s="148"/>
      <c r="AW790" s="148"/>
      <c r="AX790" s="148"/>
      <c r="AY790" s="148"/>
      <c r="AZ790" s="148"/>
    </row>
    <row r="791" spans="20:52" x14ac:dyDescent="0.45">
      <c r="T791" s="148"/>
      <c r="U791" s="148"/>
      <c r="V791" s="148"/>
      <c r="W791" s="148"/>
      <c r="X791" s="148"/>
      <c r="Y791" s="148"/>
      <c r="Z791" s="148"/>
      <c r="AA791" s="148"/>
      <c r="AB791" s="148"/>
      <c r="AC791" s="148"/>
      <c r="AD791" s="148"/>
      <c r="AE791" s="148"/>
      <c r="AF791" s="148"/>
      <c r="AG791" s="148"/>
      <c r="AH791" s="148"/>
      <c r="AI791" s="148"/>
      <c r="AJ791" s="148"/>
      <c r="AK791" s="148"/>
      <c r="AL791" s="148"/>
      <c r="AM791" s="148"/>
      <c r="AN791" s="148"/>
      <c r="AO791" s="148"/>
      <c r="AP791" s="148"/>
      <c r="AQ791" s="148"/>
      <c r="AR791" s="148"/>
      <c r="AS791" s="148"/>
      <c r="AT791" s="148"/>
      <c r="AU791" s="148"/>
      <c r="AV791" s="148"/>
      <c r="AW791" s="148"/>
      <c r="AX791" s="148"/>
      <c r="AY791" s="148"/>
      <c r="AZ791" s="148"/>
    </row>
    <row r="792" spans="20:52" x14ac:dyDescent="0.45">
      <c r="T792" s="148"/>
      <c r="U792" s="148"/>
      <c r="V792" s="148"/>
      <c r="W792" s="148"/>
      <c r="X792" s="148"/>
      <c r="Y792" s="148"/>
      <c r="Z792" s="148"/>
      <c r="AA792" s="148"/>
      <c r="AB792" s="148"/>
      <c r="AC792" s="148"/>
      <c r="AD792" s="148"/>
      <c r="AE792" s="148"/>
      <c r="AF792" s="148"/>
      <c r="AG792" s="148"/>
      <c r="AH792" s="148"/>
      <c r="AI792" s="148"/>
      <c r="AJ792" s="148"/>
      <c r="AK792" s="148"/>
      <c r="AL792" s="148"/>
      <c r="AM792" s="148"/>
      <c r="AN792" s="148"/>
      <c r="AO792" s="148"/>
      <c r="AP792" s="148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</row>
    <row r="793" spans="20:52" x14ac:dyDescent="0.45">
      <c r="T793" s="148"/>
      <c r="U793" s="148"/>
      <c r="V793" s="148"/>
      <c r="W793" s="148"/>
      <c r="X793" s="148"/>
      <c r="Y793" s="148"/>
      <c r="Z793" s="148"/>
      <c r="AA793" s="148"/>
      <c r="AB793" s="148"/>
      <c r="AC793" s="148"/>
      <c r="AD793" s="148"/>
      <c r="AE793" s="148"/>
      <c r="AF793" s="148"/>
      <c r="AG793" s="148"/>
      <c r="AH793" s="148"/>
      <c r="AI793" s="148"/>
      <c r="AJ793" s="148"/>
      <c r="AK793" s="148"/>
      <c r="AL793" s="148"/>
      <c r="AM793" s="148"/>
      <c r="AN793" s="148"/>
      <c r="AO793" s="148"/>
      <c r="AP793" s="148"/>
      <c r="AQ793" s="148"/>
      <c r="AR793" s="148"/>
      <c r="AS793" s="148"/>
      <c r="AT793" s="148"/>
      <c r="AU793" s="148"/>
      <c r="AV793" s="148"/>
      <c r="AW793" s="148"/>
      <c r="AX793" s="148"/>
      <c r="AY793" s="148"/>
      <c r="AZ793" s="148"/>
    </row>
    <row r="794" spans="20:52" x14ac:dyDescent="0.45">
      <c r="T794" s="148"/>
      <c r="U794" s="148"/>
      <c r="V794" s="148"/>
      <c r="W794" s="148"/>
      <c r="X794" s="148"/>
      <c r="Y794" s="148"/>
      <c r="Z794" s="148"/>
      <c r="AA794" s="148"/>
      <c r="AB794" s="148"/>
      <c r="AC794" s="148"/>
      <c r="AD794" s="148"/>
      <c r="AE794" s="148"/>
      <c r="AF794" s="148"/>
      <c r="AG794" s="148"/>
      <c r="AH794" s="148"/>
      <c r="AI794" s="148"/>
      <c r="AJ794" s="148"/>
      <c r="AK794" s="148"/>
      <c r="AL794" s="148"/>
      <c r="AM794" s="148"/>
      <c r="AN794" s="148"/>
      <c r="AO794" s="148"/>
      <c r="AP794" s="148"/>
      <c r="AQ794" s="148"/>
      <c r="AR794" s="148"/>
      <c r="AS794" s="148"/>
      <c r="AT794" s="148"/>
      <c r="AU794" s="148"/>
      <c r="AV794" s="148"/>
      <c r="AW794" s="148"/>
      <c r="AX794" s="148"/>
      <c r="AY794" s="148"/>
      <c r="AZ794" s="148"/>
    </row>
    <row r="795" spans="20:52" x14ac:dyDescent="0.45">
      <c r="T795" s="148"/>
      <c r="U795" s="148"/>
      <c r="V795" s="148"/>
      <c r="W795" s="148"/>
      <c r="X795" s="148"/>
      <c r="Y795" s="148"/>
      <c r="Z795" s="148"/>
      <c r="AA795" s="148"/>
      <c r="AB795" s="148"/>
      <c r="AC795" s="148"/>
      <c r="AD795" s="148"/>
      <c r="AE795" s="148"/>
      <c r="AF795" s="148"/>
      <c r="AG795" s="148"/>
      <c r="AH795" s="148"/>
      <c r="AI795" s="148"/>
      <c r="AJ795" s="148"/>
      <c r="AK795" s="148"/>
      <c r="AL795" s="148"/>
      <c r="AM795" s="148"/>
      <c r="AN795" s="148"/>
      <c r="AO795" s="148"/>
      <c r="AP795" s="148"/>
      <c r="AQ795" s="148"/>
      <c r="AR795" s="148"/>
      <c r="AS795" s="148"/>
      <c r="AT795" s="148"/>
      <c r="AU795" s="148"/>
      <c r="AV795" s="148"/>
      <c r="AW795" s="148"/>
      <c r="AX795" s="148"/>
      <c r="AY795" s="148"/>
      <c r="AZ795" s="148"/>
    </row>
    <row r="796" spans="20:52" x14ac:dyDescent="0.45">
      <c r="T796" s="148"/>
      <c r="U796" s="148"/>
      <c r="V796" s="148"/>
      <c r="W796" s="148"/>
      <c r="X796" s="148"/>
      <c r="Y796" s="148"/>
      <c r="Z796" s="148"/>
      <c r="AA796" s="148"/>
      <c r="AB796" s="148"/>
      <c r="AC796" s="148"/>
      <c r="AD796" s="148"/>
      <c r="AE796" s="148"/>
      <c r="AF796" s="148"/>
      <c r="AG796" s="148"/>
      <c r="AH796" s="148"/>
      <c r="AI796" s="148"/>
      <c r="AJ796" s="148"/>
      <c r="AK796" s="148"/>
      <c r="AL796" s="148"/>
      <c r="AM796" s="148"/>
      <c r="AN796" s="148"/>
      <c r="AO796" s="148"/>
      <c r="AP796" s="148"/>
      <c r="AQ796" s="148"/>
      <c r="AR796" s="148"/>
      <c r="AS796" s="148"/>
      <c r="AT796" s="148"/>
      <c r="AU796" s="148"/>
      <c r="AV796" s="148"/>
      <c r="AW796" s="148"/>
      <c r="AX796" s="148"/>
      <c r="AY796" s="148"/>
      <c r="AZ796" s="148"/>
    </row>
    <row r="797" spans="20:52" x14ac:dyDescent="0.45">
      <c r="T797" s="148"/>
      <c r="U797" s="148"/>
      <c r="V797" s="148"/>
      <c r="W797" s="148"/>
      <c r="X797" s="148"/>
      <c r="Y797" s="148"/>
      <c r="Z797" s="148"/>
      <c r="AA797" s="148"/>
      <c r="AB797" s="148"/>
      <c r="AC797" s="148"/>
      <c r="AD797" s="148"/>
      <c r="AE797" s="148"/>
      <c r="AF797" s="148"/>
      <c r="AG797" s="148"/>
      <c r="AH797" s="148"/>
      <c r="AI797" s="148"/>
      <c r="AJ797" s="148"/>
      <c r="AK797" s="148"/>
      <c r="AL797" s="148"/>
      <c r="AM797" s="148"/>
      <c r="AN797" s="148"/>
      <c r="AO797" s="148"/>
      <c r="AP797" s="148"/>
      <c r="AQ797" s="148"/>
      <c r="AR797" s="148"/>
      <c r="AS797" s="148"/>
      <c r="AT797" s="148"/>
      <c r="AU797" s="148"/>
      <c r="AV797" s="148"/>
      <c r="AW797" s="148"/>
      <c r="AX797" s="148"/>
      <c r="AY797" s="148"/>
      <c r="AZ797" s="148"/>
    </row>
    <row r="798" spans="20:52" x14ac:dyDescent="0.45">
      <c r="T798" s="148"/>
      <c r="U798" s="148"/>
      <c r="V798" s="148"/>
      <c r="W798" s="148"/>
      <c r="X798" s="148"/>
      <c r="Y798" s="148"/>
      <c r="Z798" s="148"/>
      <c r="AA798" s="148"/>
      <c r="AB798" s="148"/>
      <c r="AC798" s="148"/>
      <c r="AD798" s="148"/>
      <c r="AE798" s="148"/>
      <c r="AF798" s="148"/>
      <c r="AG798" s="148"/>
      <c r="AH798" s="148"/>
      <c r="AI798" s="148"/>
      <c r="AJ798" s="148"/>
      <c r="AK798" s="148"/>
      <c r="AL798" s="148"/>
      <c r="AM798" s="148"/>
      <c r="AN798" s="148"/>
      <c r="AO798" s="148"/>
      <c r="AP798" s="148"/>
      <c r="AQ798" s="148"/>
      <c r="AR798" s="148"/>
      <c r="AS798" s="148"/>
      <c r="AT798" s="148"/>
      <c r="AU798" s="148"/>
      <c r="AV798" s="148"/>
      <c r="AW798" s="148"/>
      <c r="AX798" s="148"/>
      <c r="AY798" s="148"/>
      <c r="AZ798" s="148"/>
    </row>
    <row r="799" spans="20:52" x14ac:dyDescent="0.45">
      <c r="T799" s="148"/>
      <c r="U799" s="148"/>
      <c r="V799" s="148"/>
      <c r="W799" s="148"/>
      <c r="X799" s="148"/>
      <c r="Y799" s="148"/>
      <c r="Z799" s="148"/>
      <c r="AA799" s="148"/>
      <c r="AB799" s="148"/>
      <c r="AC799" s="148"/>
      <c r="AD799" s="148"/>
      <c r="AE799" s="148"/>
      <c r="AF799" s="148"/>
      <c r="AG799" s="148"/>
      <c r="AH799" s="148"/>
      <c r="AI799" s="148"/>
      <c r="AJ799" s="148"/>
      <c r="AK799" s="148"/>
      <c r="AL799" s="148"/>
      <c r="AM799" s="148"/>
      <c r="AN799" s="148"/>
      <c r="AO799" s="148"/>
      <c r="AP799" s="148"/>
      <c r="AQ799" s="148"/>
      <c r="AR799" s="148"/>
      <c r="AS799" s="148"/>
      <c r="AT799" s="148"/>
      <c r="AU799" s="148"/>
      <c r="AV799" s="148"/>
      <c r="AW799" s="148"/>
      <c r="AX799" s="148"/>
      <c r="AY799" s="148"/>
      <c r="AZ799" s="148"/>
    </row>
    <row r="800" spans="20:52" x14ac:dyDescent="0.45">
      <c r="T800" s="148"/>
      <c r="U800" s="148"/>
      <c r="V800" s="148"/>
      <c r="W800" s="148"/>
      <c r="X800" s="148"/>
      <c r="Y800" s="148"/>
      <c r="Z800" s="148"/>
      <c r="AA800" s="148"/>
      <c r="AB800" s="148"/>
      <c r="AC800" s="148"/>
      <c r="AD800" s="148"/>
      <c r="AE800" s="148"/>
      <c r="AF800" s="148"/>
      <c r="AG800" s="148"/>
      <c r="AH800" s="148"/>
      <c r="AI800" s="148"/>
      <c r="AJ800" s="148"/>
      <c r="AK800" s="148"/>
      <c r="AL800" s="148"/>
      <c r="AM800" s="148"/>
      <c r="AN800" s="148"/>
      <c r="AO800" s="148"/>
      <c r="AP800" s="148"/>
      <c r="AQ800" s="148"/>
      <c r="AR800" s="148"/>
      <c r="AS800" s="148"/>
      <c r="AT800" s="148"/>
      <c r="AU800" s="148"/>
      <c r="AV800" s="148"/>
      <c r="AW800" s="148"/>
      <c r="AX800" s="148"/>
      <c r="AY800" s="148"/>
      <c r="AZ800" s="148"/>
    </row>
    <row r="801" spans="20:52" x14ac:dyDescent="0.45">
      <c r="T801" s="148"/>
      <c r="U801" s="148"/>
      <c r="V801" s="148"/>
      <c r="W801" s="148"/>
      <c r="X801" s="148"/>
      <c r="Y801" s="148"/>
      <c r="Z801" s="148"/>
      <c r="AA801" s="148"/>
      <c r="AB801" s="148"/>
      <c r="AC801" s="148"/>
      <c r="AD801" s="148"/>
      <c r="AE801" s="148"/>
      <c r="AF801" s="148"/>
      <c r="AG801" s="148"/>
      <c r="AH801" s="148"/>
      <c r="AI801" s="148"/>
      <c r="AJ801" s="148"/>
      <c r="AK801" s="148"/>
      <c r="AL801" s="148"/>
      <c r="AM801" s="148"/>
      <c r="AN801" s="148"/>
      <c r="AO801" s="148"/>
      <c r="AP801" s="148"/>
      <c r="AQ801" s="148"/>
      <c r="AR801" s="148"/>
      <c r="AS801" s="148"/>
      <c r="AT801" s="148"/>
      <c r="AU801" s="148"/>
      <c r="AV801" s="148"/>
      <c r="AW801" s="148"/>
      <c r="AX801" s="148"/>
      <c r="AY801" s="148"/>
      <c r="AZ801" s="148"/>
    </row>
    <row r="802" spans="20:52" x14ac:dyDescent="0.45">
      <c r="T802" s="148"/>
      <c r="U802" s="148"/>
      <c r="V802" s="148"/>
      <c r="W802" s="148"/>
      <c r="X802" s="148"/>
      <c r="Y802" s="148"/>
      <c r="Z802" s="148"/>
      <c r="AA802" s="148"/>
      <c r="AB802" s="148"/>
      <c r="AC802" s="148"/>
      <c r="AD802" s="148"/>
      <c r="AE802" s="148"/>
      <c r="AF802" s="148"/>
      <c r="AG802" s="148"/>
      <c r="AH802" s="148"/>
      <c r="AI802" s="148"/>
      <c r="AJ802" s="148"/>
      <c r="AK802" s="148"/>
      <c r="AL802" s="148"/>
      <c r="AM802" s="148"/>
      <c r="AN802" s="148"/>
      <c r="AO802" s="148"/>
      <c r="AP802" s="148"/>
      <c r="AQ802" s="148"/>
      <c r="AR802" s="148"/>
      <c r="AS802" s="148"/>
      <c r="AT802" s="148"/>
      <c r="AU802" s="148"/>
      <c r="AV802" s="148"/>
      <c r="AW802" s="148"/>
      <c r="AX802" s="148"/>
      <c r="AY802" s="148"/>
      <c r="AZ802" s="148"/>
    </row>
    <row r="803" spans="20:52" x14ac:dyDescent="0.45">
      <c r="T803" s="148"/>
      <c r="U803" s="148"/>
      <c r="V803" s="148"/>
      <c r="W803" s="148"/>
      <c r="X803" s="148"/>
      <c r="Y803" s="148"/>
      <c r="Z803" s="148"/>
      <c r="AA803" s="148"/>
      <c r="AB803" s="148"/>
      <c r="AC803" s="148"/>
      <c r="AD803" s="148"/>
      <c r="AE803" s="148"/>
      <c r="AF803" s="148"/>
      <c r="AG803" s="148"/>
      <c r="AH803" s="148"/>
      <c r="AI803" s="148"/>
      <c r="AJ803" s="148"/>
      <c r="AK803" s="148"/>
      <c r="AL803" s="148"/>
      <c r="AM803" s="148"/>
      <c r="AN803" s="148"/>
      <c r="AO803" s="148"/>
      <c r="AP803" s="148"/>
      <c r="AQ803" s="148"/>
      <c r="AR803" s="148"/>
      <c r="AS803" s="148"/>
      <c r="AT803" s="148"/>
      <c r="AU803" s="148"/>
      <c r="AV803" s="148"/>
      <c r="AW803" s="148"/>
      <c r="AX803" s="148"/>
      <c r="AY803" s="148"/>
      <c r="AZ803" s="148"/>
    </row>
    <row r="804" spans="20:52" x14ac:dyDescent="0.45">
      <c r="T804" s="148"/>
      <c r="U804" s="148"/>
      <c r="V804" s="148"/>
      <c r="W804" s="148"/>
      <c r="X804" s="148"/>
      <c r="Y804" s="148"/>
      <c r="Z804" s="148"/>
      <c r="AA804" s="148"/>
      <c r="AB804" s="148"/>
      <c r="AC804" s="148"/>
      <c r="AD804" s="148"/>
      <c r="AE804" s="148"/>
      <c r="AF804" s="148"/>
      <c r="AG804" s="148"/>
      <c r="AH804" s="148"/>
      <c r="AI804" s="148"/>
      <c r="AJ804" s="148"/>
      <c r="AK804" s="148"/>
      <c r="AL804" s="148"/>
      <c r="AM804" s="148"/>
      <c r="AN804" s="148"/>
      <c r="AO804" s="148"/>
      <c r="AP804" s="148"/>
      <c r="AQ804" s="148"/>
      <c r="AR804" s="148"/>
      <c r="AS804" s="148"/>
      <c r="AT804" s="148"/>
      <c r="AU804" s="148"/>
      <c r="AV804" s="148"/>
      <c r="AW804" s="148"/>
      <c r="AX804" s="148"/>
      <c r="AY804" s="148"/>
      <c r="AZ804" s="148"/>
    </row>
    <row r="805" spans="20:52" x14ac:dyDescent="0.45">
      <c r="T805" s="148"/>
      <c r="U805" s="148"/>
      <c r="V805" s="148"/>
      <c r="W805" s="148"/>
      <c r="X805" s="148"/>
      <c r="Y805" s="148"/>
      <c r="Z805" s="148"/>
      <c r="AA805" s="148"/>
      <c r="AB805" s="148"/>
      <c r="AC805" s="148"/>
      <c r="AD805" s="148"/>
      <c r="AE805" s="148"/>
      <c r="AF805" s="148"/>
      <c r="AG805" s="148"/>
      <c r="AH805" s="148"/>
      <c r="AI805" s="148"/>
      <c r="AJ805" s="148"/>
      <c r="AK805" s="148"/>
      <c r="AL805" s="148"/>
      <c r="AM805" s="148"/>
      <c r="AN805" s="148"/>
      <c r="AO805" s="148"/>
      <c r="AP805" s="148"/>
      <c r="AQ805" s="148"/>
      <c r="AR805" s="148"/>
      <c r="AS805" s="148"/>
      <c r="AT805" s="148"/>
      <c r="AU805" s="148"/>
      <c r="AV805" s="148"/>
      <c r="AW805" s="148"/>
      <c r="AX805" s="148"/>
      <c r="AY805" s="148"/>
      <c r="AZ805" s="148"/>
    </row>
    <row r="806" spans="20:52" x14ac:dyDescent="0.45">
      <c r="T806" s="148"/>
      <c r="U806" s="148"/>
      <c r="V806" s="148"/>
      <c r="W806" s="148"/>
      <c r="X806" s="148"/>
      <c r="Y806" s="148"/>
      <c r="Z806" s="148"/>
      <c r="AA806" s="148"/>
      <c r="AB806" s="148"/>
      <c r="AC806" s="148"/>
      <c r="AD806" s="148"/>
      <c r="AE806" s="148"/>
      <c r="AF806" s="148"/>
      <c r="AG806" s="148"/>
      <c r="AH806" s="148"/>
      <c r="AI806" s="148"/>
      <c r="AJ806" s="148"/>
      <c r="AK806" s="148"/>
      <c r="AL806" s="148"/>
      <c r="AM806" s="148"/>
      <c r="AN806" s="148"/>
      <c r="AO806" s="148"/>
      <c r="AP806" s="148"/>
      <c r="AQ806" s="148"/>
      <c r="AR806" s="148"/>
      <c r="AS806" s="148"/>
      <c r="AT806" s="148"/>
      <c r="AU806" s="148"/>
      <c r="AV806" s="148"/>
      <c r="AW806" s="148"/>
      <c r="AX806" s="148"/>
      <c r="AY806" s="148"/>
      <c r="AZ806" s="148"/>
    </row>
    <row r="807" spans="20:52" x14ac:dyDescent="0.45">
      <c r="T807" s="148"/>
      <c r="U807" s="148"/>
      <c r="V807" s="148"/>
      <c r="W807" s="148"/>
      <c r="X807" s="148"/>
      <c r="Y807" s="148"/>
      <c r="Z807" s="148"/>
      <c r="AA807" s="148"/>
      <c r="AB807" s="148"/>
      <c r="AC807" s="148"/>
      <c r="AD807" s="148"/>
      <c r="AE807" s="148"/>
      <c r="AF807" s="148"/>
      <c r="AG807" s="148"/>
      <c r="AH807" s="148"/>
      <c r="AI807" s="148"/>
      <c r="AJ807" s="148"/>
      <c r="AK807" s="148"/>
      <c r="AL807" s="148"/>
      <c r="AM807" s="148"/>
      <c r="AN807" s="148"/>
      <c r="AO807" s="148"/>
      <c r="AP807" s="148"/>
      <c r="AQ807" s="148"/>
      <c r="AR807" s="148"/>
      <c r="AS807" s="148"/>
      <c r="AT807" s="148"/>
      <c r="AU807" s="148"/>
      <c r="AV807" s="148"/>
      <c r="AW807" s="148"/>
      <c r="AX807" s="148"/>
      <c r="AY807" s="148"/>
      <c r="AZ807" s="148"/>
    </row>
    <row r="808" spans="20:52" x14ac:dyDescent="0.45">
      <c r="T808" s="148"/>
      <c r="U808" s="148"/>
      <c r="V808" s="148"/>
      <c r="W808" s="148"/>
      <c r="X808" s="148"/>
      <c r="Y808" s="148"/>
      <c r="Z808" s="148"/>
      <c r="AA808" s="148"/>
      <c r="AB808" s="148"/>
      <c r="AC808" s="148"/>
      <c r="AD808" s="148"/>
      <c r="AE808" s="148"/>
      <c r="AF808" s="148"/>
      <c r="AG808" s="148"/>
      <c r="AH808" s="148"/>
      <c r="AI808" s="148"/>
      <c r="AJ808" s="148"/>
      <c r="AK808" s="148"/>
      <c r="AL808" s="148"/>
      <c r="AM808" s="148"/>
      <c r="AN808" s="148"/>
      <c r="AO808" s="148"/>
      <c r="AP808" s="148"/>
      <c r="AQ808" s="148"/>
      <c r="AR808" s="148"/>
      <c r="AS808" s="148"/>
      <c r="AT808" s="148"/>
      <c r="AU808" s="148"/>
      <c r="AV808" s="148"/>
      <c r="AW808" s="148"/>
      <c r="AX808" s="148"/>
      <c r="AY808" s="148"/>
      <c r="AZ808" s="148"/>
    </row>
    <row r="809" spans="20:52" x14ac:dyDescent="0.45">
      <c r="T809" s="148"/>
      <c r="U809" s="148"/>
      <c r="V809" s="148"/>
      <c r="W809" s="148"/>
      <c r="X809" s="148"/>
      <c r="Y809" s="148"/>
      <c r="Z809" s="148"/>
      <c r="AA809" s="148"/>
      <c r="AB809" s="148"/>
      <c r="AC809" s="148"/>
      <c r="AD809" s="148"/>
      <c r="AE809" s="148"/>
      <c r="AF809" s="148"/>
      <c r="AG809" s="148"/>
      <c r="AH809" s="148"/>
      <c r="AI809" s="148"/>
      <c r="AJ809" s="148"/>
      <c r="AK809" s="148"/>
      <c r="AL809" s="148"/>
      <c r="AM809" s="148"/>
      <c r="AN809" s="148"/>
      <c r="AO809" s="148"/>
      <c r="AP809" s="148"/>
      <c r="AQ809" s="148"/>
      <c r="AR809" s="148"/>
      <c r="AS809" s="148"/>
      <c r="AT809" s="148"/>
      <c r="AU809" s="148"/>
      <c r="AV809" s="148"/>
      <c r="AW809" s="148"/>
      <c r="AX809" s="148"/>
      <c r="AY809" s="148"/>
      <c r="AZ809" s="148"/>
    </row>
    <row r="810" spans="20:52" x14ac:dyDescent="0.45">
      <c r="T810" s="148"/>
      <c r="U810" s="148"/>
      <c r="V810" s="148"/>
      <c r="W810" s="148"/>
      <c r="X810" s="148"/>
      <c r="Y810" s="148"/>
      <c r="Z810" s="148"/>
      <c r="AA810" s="148"/>
      <c r="AB810" s="148"/>
      <c r="AC810" s="148"/>
      <c r="AD810" s="148"/>
      <c r="AE810" s="148"/>
      <c r="AF810" s="148"/>
      <c r="AG810" s="148"/>
      <c r="AH810" s="148"/>
      <c r="AI810" s="148"/>
      <c r="AJ810" s="148"/>
      <c r="AK810" s="148"/>
      <c r="AL810" s="148"/>
      <c r="AM810" s="148"/>
      <c r="AN810" s="148"/>
      <c r="AO810" s="148"/>
      <c r="AP810" s="148"/>
      <c r="AQ810" s="148"/>
      <c r="AR810" s="148"/>
      <c r="AS810" s="148"/>
      <c r="AT810" s="148"/>
      <c r="AU810" s="148"/>
      <c r="AV810" s="148"/>
      <c r="AW810" s="148"/>
      <c r="AX810" s="148"/>
      <c r="AY810" s="148"/>
      <c r="AZ810" s="148"/>
    </row>
    <row r="811" spans="20:52" x14ac:dyDescent="0.45">
      <c r="T811" s="148"/>
      <c r="U811" s="148"/>
      <c r="V811" s="148"/>
      <c r="W811" s="148"/>
      <c r="X811" s="148"/>
      <c r="Y811" s="148"/>
      <c r="Z811" s="148"/>
      <c r="AA811" s="148"/>
      <c r="AB811" s="148"/>
      <c r="AC811" s="148"/>
      <c r="AD811" s="148"/>
      <c r="AE811" s="148"/>
      <c r="AF811" s="148"/>
      <c r="AG811" s="148"/>
      <c r="AH811" s="148"/>
      <c r="AI811" s="148"/>
      <c r="AJ811" s="148"/>
      <c r="AK811" s="148"/>
      <c r="AL811" s="148"/>
      <c r="AM811" s="148"/>
      <c r="AN811" s="148"/>
      <c r="AO811" s="148"/>
      <c r="AP811" s="148"/>
      <c r="AQ811" s="148"/>
      <c r="AR811" s="148"/>
      <c r="AS811" s="148"/>
      <c r="AT811" s="148"/>
      <c r="AU811" s="148"/>
      <c r="AV811" s="148"/>
      <c r="AW811" s="148"/>
      <c r="AX811" s="148"/>
      <c r="AY811" s="148"/>
      <c r="AZ811" s="148"/>
    </row>
    <row r="812" spans="20:52" x14ac:dyDescent="0.45">
      <c r="T812" s="148"/>
      <c r="U812" s="148"/>
      <c r="V812" s="148"/>
      <c r="W812" s="148"/>
      <c r="X812" s="148"/>
      <c r="Y812" s="148"/>
      <c r="Z812" s="148"/>
      <c r="AA812" s="148"/>
      <c r="AB812" s="148"/>
      <c r="AC812" s="148"/>
      <c r="AD812" s="148"/>
      <c r="AE812" s="148"/>
      <c r="AF812" s="148"/>
      <c r="AG812" s="148"/>
      <c r="AH812" s="148"/>
      <c r="AI812" s="148"/>
      <c r="AJ812" s="148"/>
      <c r="AK812" s="148"/>
      <c r="AL812" s="148"/>
      <c r="AM812" s="148"/>
      <c r="AN812" s="148"/>
      <c r="AO812" s="148"/>
      <c r="AP812" s="148"/>
      <c r="AQ812" s="148"/>
      <c r="AR812" s="148"/>
      <c r="AS812" s="148"/>
      <c r="AT812" s="148"/>
      <c r="AU812" s="148"/>
      <c r="AV812" s="148"/>
      <c r="AW812" s="148"/>
      <c r="AX812" s="148"/>
      <c r="AY812" s="148"/>
      <c r="AZ812" s="148"/>
    </row>
    <row r="813" spans="20:52" x14ac:dyDescent="0.45">
      <c r="T813" s="148"/>
      <c r="U813" s="148"/>
      <c r="V813" s="148"/>
      <c r="W813" s="148"/>
      <c r="X813" s="148"/>
      <c r="Y813" s="148"/>
      <c r="Z813" s="148"/>
      <c r="AA813" s="148"/>
      <c r="AB813" s="148"/>
      <c r="AC813" s="148"/>
      <c r="AD813" s="148"/>
      <c r="AE813" s="148"/>
      <c r="AF813" s="148"/>
      <c r="AG813" s="148"/>
      <c r="AH813" s="148"/>
      <c r="AI813" s="148"/>
      <c r="AJ813" s="148"/>
      <c r="AK813" s="148"/>
      <c r="AL813" s="148"/>
      <c r="AM813" s="148"/>
      <c r="AN813" s="148"/>
      <c r="AO813" s="148"/>
      <c r="AP813" s="148"/>
      <c r="AQ813" s="148"/>
      <c r="AR813" s="148"/>
      <c r="AS813" s="148"/>
      <c r="AT813" s="148"/>
      <c r="AU813" s="148"/>
      <c r="AV813" s="148"/>
      <c r="AW813" s="148"/>
      <c r="AX813" s="148"/>
      <c r="AY813" s="148"/>
      <c r="AZ813" s="148"/>
    </row>
    <row r="814" spans="20:52" x14ac:dyDescent="0.45">
      <c r="T814" s="148"/>
      <c r="U814" s="148"/>
      <c r="V814" s="148"/>
      <c r="W814" s="148"/>
      <c r="X814" s="148"/>
      <c r="Y814" s="148"/>
      <c r="Z814" s="148"/>
      <c r="AA814" s="148"/>
      <c r="AB814" s="148"/>
      <c r="AC814" s="148"/>
      <c r="AD814" s="148"/>
      <c r="AE814" s="148"/>
      <c r="AF814" s="148"/>
      <c r="AG814" s="148"/>
      <c r="AH814" s="148"/>
      <c r="AI814" s="148"/>
      <c r="AJ814" s="148"/>
      <c r="AK814" s="148"/>
      <c r="AL814" s="148"/>
      <c r="AM814" s="148"/>
      <c r="AN814" s="148"/>
      <c r="AO814" s="148"/>
      <c r="AP814" s="148"/>
      <c r="AQ814" s="148"/>
      <c r="AR814" s="148"/>
      <c r="AS814" s="148"/>
      <c r="AT814" s="148"/>
      <c r="AU814" s="148"/>
      <c r="AV814" s="148"/>
      <c r="AW814" s="148"/>
      <c r="AX814" s="148"/>
      <c r="AY814" s="148"/>
      <c r="AZ814" s="148"/>
    </row>
    <row r="815" spans="20:52" x14ac:dyDescent="0.45">
      <c r="T815" s="148"/>
      <c r="U815" s="148"/>
      <c r="V815" s="148"/>
      <c r="W815" s="148"/>
      <c r="X815" s="148"/>
      <c r="Y815" s="148"/>
      <c r="Z815" s="148"/>
      <c r="AA815" s="148"/>
      <c r="AB815" s="148"/>
      <c r="AC815" s="148"/>
      <c r="AD815" s="148"/>
      <c r="AE815" s="148"/>
      <c r="AF815" s="148"/>
      <c r="AG815" s="148"/>
      <c r="AH815" s="148"/>
      <c r="AI815" s="148"/>
      <c r="AJ815" s="148"/>
      <c r="AK815" s="148"/>
      <c r="AL815" s="148"/>
      <c r="AM815" s="148"/>
      <c r="AN815" s="148"/>
      <c r="AO815" s="148"/>
      <c r="AP815" s="148"/>
      <c r="AQ815" s="148"/>
      <c r="AR815" s="148"/>
      <c r="AS815" s="148"/>
      <c r="AT815" s="148"/>
      <c r="AU815" s="148"/>
      <c r="AV815" s="148"/>
      <c r="AW815" s="148"/>
      <c r="AX815" s="148"/>
      <c r="AY815" s="148"/>
      <c r="AZ815" s="148"/>
    </row>
    <row r="816" spans="20:52" x14ac:dyDescent="0.45">
      <c r="T816" s="148"/>
      <c r="U816" s="148"/>
      <c r="V816" s="148"/>
      <c r="W816" s="148"/>
      <c r="X816" s="148"/>
      <c r="Y816" s="148"/>
      <c r="Z816" s="148"/>
      <c r="AA816" s="148"/>
      <c r="AB816" s="148"/>
      <c r="AC816" s="148"/>
      <c r="AD816" s="148"/>
      <c r="AE816" s="148"/>
      <c r="AF816" s="148"/>
      <c r="AG816" s="148"/>
      <c r="AH816" s="148"/>
      <c r="AI816" s="148"/>
      <c r="AJ816" s="148"/>
      <c r="AK816" s="148"/>
      <c r="AL816" s="148"/>
      <c r="AM816" s="148"/>
      <c r="AN816" s="148"/>
      <c r="AO816" s="148"/>
      <c r="AP816" s="148"/>
      <c r="AQ816" s="148"/>
      <c r="AR816" s="148"/>
      <c r="AS816" s="148"/>
      <c r="AT816" s="148"/>
      <c r="AU816" s="148"/>
      <c r="AV816" s="148"/>
      <c r="AW816" s="148"/>
      <c r="AX816" s="148"/>
      <c r="AY816" s="148"/>
      <c r="AZ816" s="148"/>
    </row>
    <row r="817" spans="20:52" x14ac:dyDescent="0.45">
      <c r="T817" s="148"/>
      <c r="U817" s="148"/>
      <c r="V817" s="148"/>
      <c r="W817" s="148"/>
      <c r="X817" s="148"/>
      <c r="Y817" s="148"/>
      <c r="Z817" s="148"/>
      <c r="AA817" s="148"/>
      <c r="AB817" s="148"/>
      <c r="AC817" s="148"/>
      <c r="AD817" s="148"/>
      <c r="AE817" s="148"/>
      <c r="AF817" s="148"/>
      <c r="AG817" s="148"/>
      <c r="AH817" s="148"/>
      <c r="AI817" s="148"/>
      <c r="AJ817" s="148"/>
      <c r="AK817" s="148"/>
      <c r="AL817" s="148"/>
      <c r="AM817" s="148"/>
      <c r="AN817" s="148"/>
      <c r="AO817" s="148"/>
      <c r="AP817" s="148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</row>
    <row r="818" spans="20:52" x14ac:dyDescent="0.45">
      <c r="T818" s="148"/>
      <c r="U818" s="148"/>
      <c r="V818" s="148"/>
      <c r="W818" s="148"/>
      <c r="X818" s="148"/>
      <c r="Y818" s="148"/>
      <c r="Z818" s="148"/>
      <c r="AA818" s="148"/>
      <c r="AB818" s="148"/>
      <c r="AC818" s="148"/>
      <c r="AD818" s="148"/>
      <c r="AE818" s="148"/>
      <c r="AF818" s="148"/>
      <c r="AG818" s="148"/>
      <c r="AH818" s="148"/>
      <c r="AI818" s="148"/>
      <c r="AJ818" s="148"/>
      <c r="AK818" s="148"/>
      <c r="AL818" s="148"/>
      <c r="AM818" s="148"/>
      <c r="AN818" s="148"/>
      <c r="AO818" s="148"/>
      <c r="AP818" s="148"/>
      <c r="AQ818" s="148"/>
      <c r="AR818" s="148"/>
      <c r="AS818" s="148"/>
      <c r="AT818" s="148"/>
      <c r="AU818" s="148"/>
      <c r="AV818" s="148"/>
      <c r="AW818" s="148"/>
      <c r="AX818" s="148"/>
      <c r="AY818" s="148"/>
      <c r="AZ818" s="148"/>
    </row>
    <row r="819" spans="20:52" x14ac:dyDescent="0.45">
      <c r="T819" s="148"/>
      <c r="U819" s="148"/>
      <c r="V819" s="148"/>
      <c r="W819" s="148"/>
      <c r="X819" s="148"/>
      <c r="Y819" s="148"/>
      <c r="Z819" s="148"/>
      <c r="AA819" s="148"/>
      <c r="AB819" s="148"/>
      <c r="AC819" s="148"/>
      <c r="AD819" s="148"/>
      <c r="AE819" s="148"/>
      <c r="AF819" s="148"/>
      <c r="AG819" s="148"/>
      <c r="AH819" s="148"/>
      <c r="AI819" s="148"/>
      <c r="AJ819" s="148"/>
      <c r="AK819" s="148"/>
      <c r="AL819" s="148"/>
      <c r="AM819" s="148"/>
      <c r="AN819" s="148"/>
      <c r="AO819" s="148"/>
      <c r="AP819" s="148"/>
      <c r="AQ819" s="148"/>
      <c r="AR819" s="148"/>
      <c r="AS819" s="148"/>
      <c r="AT819" s="148"/>
      <c r="AU819" s="148"/>
      <c r="AV819" s="148"/>
      <c r="AW819" s="148"/>
      <c r="AX819" s="148"/>
      <c r="AY819" s="148"/>
      <c r="AZ819" s="148"/>
    </row>
    <row r="820" spans="20:52" x14ac:dyDescent="0.45">
      <c r="T820" s="148"/>
      <c r="U820" s="148"/>
      <c r="V820" s="148"/>
      <c r="W820" s="148"/>
      <c r="X820" s="148"/>
      <c r="Y820" s="148"/>
      <c r="Z820" s="148"/>
      <c r="AA820" s="148"/>
      <c r="AB820" s="148"/>
      <c r="AC820" s="148"/>
      <c r="AD820" s="148"/>
      <c r="AE820" s="148"/>
      <c r="AF820" s="148"/>
      <c r="AG820" s="148"/>
      <c r="AH820" s="148"/>
      <c r="AI820" s="148"/>
      <c r="AJ820" s="148"/>
      <c r="AK820" s="148"/>
      <c r="AL820" s="148"/>
      <c r="AM820" s="148"/>
      <c r="AN820" s="148"/>
      <c r="AO820" s="148"/>
      <c r="AP820" s="148"/>
      <c r="AQ820" s="148"/>
      <c r="AR820" s="148"/>
      <c r="AS820" s="148"/>
      <c r="AT820" s="148"/>
      <c r="AU820" s="148"/>
      <c r="AV820" s="148"/>
      <c r="AW820" s="148"/>
      <c r="AX820" s="148"/>
      <c r="AY820" s="148"/>
      <c r="AZ820" s="148"/>
    </row>
    <row r="821" spans="20:52" x14ac:dyDescent="0.45">
      <c r="T821" s="148"/>
      <c r="U821" s="148"/>
      <c r="V821" s="148"/>
      <c r="W821" s="148"/>
      <c r="X821" s="148"/>
      <c r="Y821" s="148"/>
      <c r="Z821" s="148"/>
      <c r="AA821" s="148"/>
      <c r="AB821" s="148"/>
      <c r="AC821" s="148"/>
      <c r="AD821" s="148"/>
      <c r="AE821" s="148"/>
      <c r="AF821" s="148"/>
      <c r="AG821" s="148"/>
      <c r="AH821" s="148"/>
      <c r="AI821" s="148"/>
      <c r="AJ821" s="148"/>
      <c r="AK821" s="148"/>
      <c r="AL821" s="148"/>
      <c r="AM821" s="148"/>
      <c r="AN821" s="148"/>
      <c r="AO821" s="148"/>
      <c r="AP821" s="148"/>
      <c r="AQ821" s="148"/>
      <c r="AR821" s="148"/>
      <c r="AS821" s="148"/>
      <c r="AT821" s="148"/>
      <c r="AU821" s="148"/>
      <c r="AV821" s="148"/>
      <c r="AW821" s="148"/>
      <c r="AX821" s="148"/>
      <c r="AY821" s="148"/>
      <c r="AZ821" s="148"/>
    </row>
    <row r="822" spans="20:52" x14ac:dyDescent="0.45">
      <c r="T822" s="148"/>
      <c r="U822" s="148"/>
      <c r="V822" s="148"/>
      <c r="W822" s="148"/>
      <c r="X822" s="148"/>
      <c r="Y822" s="148"/>
      <c r="Z822" s="148"/>
      <c r="AA822" s="148"/>
      <c r="AB822" s="148"/>
      <c r="AC822" s="148"/>
      <c r="AD822" s="148"/>
      <c r="AE822" s="148"/>
      <c r="AF822" s="148"/>
      <c r="AG822" s="148"/>
      <c r="AH822" s="148"/>
      <c r="AI822" s="148"/>
      <c r="AJ822" s="148"/>
      <c r="AK822" s="148"/>
      <c r="AL822" s="148"/>
      <c r="AM822" s="148"/>
      <c r="AN822" s="148"/>
      <c r="AO822" s="148"/>
      <c r="AP822" s="148"/>
      <c r="AQ822" s="148"/>
      <c r="AR822" s="148"/>
      <c r="AS822" s="148"/>
      <c r="AT822" s="148"/>
      <c r="AU822" s="148"/>
      <c r="AV822" s="148"/>
      <c r="AW822" s="148"/>
      <c r="AX822" s="148"/>
      <c r="AY822" s="148"/>
      <c r="AZ822" s="148"/>
    </row>
    <row r="823" spans="20:52" x14ac:dyDescent="0.45">
      <c r="T823" s="148"/>
      <c r="U823" s="148"/>
      <c r="V823" s="148"/>
      <c r="W823" s="148"/>
      <c r="X823" s="148"/>
      <c r="Y823" s="148"/>
      <c r="Z823" s="148"/>
      <c r="AA823" s="148"/>
      <c r="AB823" s="148"/>
      <c r="AC823" s="148"/>
      <c r="AD823" s="148"/>
      <c r="AE823" s="148"/>
      <c r="AF823" s="148"/>
      <c r="AG823" s="148"/>
      <c r="AH823" s="148"/>
      <c r="AI823" s="148"/>
      <c r="AJ823" s="148"/>
      <c r="AK823" s="148"/>
      <c r="AL823" s="148"/>
      <c r="AM823" s="148"/>
      <c r="AN823" s="148"/>
      <c r="AO823" s="148"/>
      <c r="AP823" s="148"/>
      <c r="AQ823" s="148"/>
      <c r="AR823" s="148"/>
      <c r="AS823" s="148"/>
      <c r="AT823" s="148"/>
      <c r="AU823" s="148"/>
      <c r="AV823" s="148"/>
      <c r="AW823" s="148"/>
      <c r="AX823" s="148"/>
      <c r="AY823" s="148"/>
      <c r="AZ823" s="148"/>
    </row>
    <row r="824" spans="20:52" x14ac:dyDescent="0.45">
      <c r="T824" s="148"/>
      <c r="U824" s="148"/>
      <c r="V824" s="148"/>
      <c r="W824" s="148"/>
      <c r="X824" s="148"/>
      <c r="Y824" s="148"/>
      <c r="Z824" s="148"/>
      <c r="AA824" s="148"/>
      <c r="AB824" s="148"/>
      <c r="AC824" s="148"/>
      <c r="AD824" s="148"/>
      <c r="AE824" s="148"/>
      <c r="AF824" s="148"/>
      <c r="AG824" s="148"/>
      <c r="AH824" s="148"/>
      <c r="AI824" s="148"/>
      <c r="AJ824" s="148"/>
      <c r="AK824" s="148"/>
      <c r="AL824" s="148"/>
      <c r="AM824" s="148"/>
      <c r="AN824" s="148"/>
      <c r="AO824" s="148"/>
      <c r="AP824" s="148"/>
      <c r="AQ824" s="148"/>
      <c r="AR824" s="148"/>
      <c r="AS824" s="148"/>
      <c r="AT824" s="148"/>
      <c r="AU824" s="148"/>
      <c r="AV824" s="148"/>
      <c r="AW824" s="148"/>
      <c r="AX824" s="148"/>
      <c r="AY824" s="148"/>
      <c r="AZ824" s="148"/>
    </row>
    <row r="825" spans="20:52" x14ac:dyDescent="0.45">
      <c r="T825" s="148"/>
      <c r="U825" s="148"/>
      <c r="V825" s="148"/>
      <c r="W825" s="148"/>
      <c r="X825" s="148"/>
      <c r="Y825" s="148"/>
      <c r="Z825" s="148"/>
      <c r="AA825" s="148"/>
      <c r="AB825" s="148"/>
      <c r="AC825" s="148"/>
      <c r="AD825" s="148"/>
      <c r="AE825" s="148"/>
      <c r="AF825" s="148"/>
      <c r="AG825" s="148"/>
      <c r="AH825" s="148"/>
      <c r="AI825" s="148"/>
      <c r="AJ825" s="148"/>
      <c r="AK825" s="148"/>
      <c r="AL825" s="148"/>
      <c r="AM825" s="148"/>
      <c r="AN825" s="148"/>
      <c r="AO825" s="148"/>
      <c r="AP825" s="148"/>
      <c r="AQ825" s="148"/>
      <c r="AR825" s="148"/>
      <c r="AS825" s="148"/>
      <c r="AT825" s="148"/>
      <c r="AU825" s="148"/>
      <c r="AV825" s="148"/>
      <c r="AW825" s="148"/>
      <c r="AX825" s="148"/>
      <c r="AY825" s="148"/>
      <c r="AZ825" s="148"/>
    </row>
    <row r="826" spans="20:52" x14ac:dyDescent="0.45">
      <c r="T826" s="148"/>
      <c r="U826" s="148"/>
      <c r="V826" s="148"/>
      <c r="W826" s="148"/>
      <c r="X826" s="148"/>
      <c r="Y826" s="148"/>
      <c r="Z826" s="148"/>
      <c r="AA826" s="148"/>
      <c r="AB826" s="148"/>
      <c r="AC826" s="148"/>
      <c r="AD826" s="148"/>
      <c r="AE826" s="148"/>
      <c r="AF826" s="148"/>
      <c r="AG826" s="148"/>
      <c r="AH826" s="148"/>
      <c r="AI826" s="148"/>
      <c r="AJ826" s="148"/>
      <c r="AK826" s="148"/>
      <c r="AL826" s="148"/>
      <c r="AM826" s="148"/>
      <c r="AN826" s="148"/>
      <c r="AO826" s="148"/>
      <c r="AP826" s="148"/>
      <c r="AQ826" s="148"/>
      <c r="AR826" s="148"/>
      <c r="AS826" s="148"/>
      <c r="AT826" s="148"/>
      <c r="AU826" s="148"/>
      <c r="AV826" s="148"/>
      <c r="AW826" s="148"/>
      <c r="AX826" s="148"/>
      <c r="AY826" s="148"/>
      <c r="AZ826" s="148"/>
    </row>
    <row r="827" spans="20:52" x14ac:dyDescent="0.45">
      <c r="T827" s="148"/>
      <c r="U827" s="148"/>
      <c r="V827" s="148"/>
      <c r="W827" s="148"/>
      <c r="X827" s="148"/>
      <c r="Y827" s="148"/>
      <c r="Z827" s="148"/>
      <c r="AA827" s="148"/>
      <c r="AB827" s="148"/>
      <c r="AC827" s="148"/>
      <c r="AD827" s="148"/>
      <c r="AE827" s="148"/>
      <c r="AF827" s="148"/>
      <c r="AG827" s="148"/>
      <c r="AH827" s="148"/>
      <c r="AI827" s="148"/>
      <c r="AJ827" s="148"/>
      <c r="AK827" s="148"/>
      <c r="AL827" s="148"/>
      <c r="AM827" s="148"/>
      <c r="AN827" s="148"/>
      <c r="AO827" s="148"/>
      <c r="AP827" s="148"/>
      <c r="AQ827" s="148"/>
      <c r="AR827" s="148"/>
      <c r="AS827" s="148"/>
      <c r="AT827" s="148"/>
      <c r="AU827" s="148"/>
      <c r="AV827" s="148"/>
      <c r="AW827" s="148"/>
      <c r="AX827" s="148"/>
      <c r="AY827" s="148"/>
      <c r="AZ827" s="148"/>
    </row>
    <row r="828" spans="20:52" x14ac:dyDescent="0.45">
      <c r="T828" s="148"/>
      <c r="U828" s="148"/>
      <c r="V828" s="148"/>
      <c r="W828" s="148"/>
      <c r="X828" s="148"/>
      <c r="Y828" s="148"/>
      <c r="Z828" s="148"/>
      <c r="AA828" s="148"/>
      <c r="AB828" s="148"/>
      <c r="AC828" s="148"/>
      <c r="AD828" s="148"/>
      <c r="AE828" s="148"/>
      <c r="AF828" s="148"/>
      <c r="AG828" s="148"/>
      <c r="AH828" s="148"/>
      <c r="AI828" s="148"/>
      <c r="AJ828" s="148"/>
      <c r="AK828" s="148"/>
      <c r="AL828" s="148"/>
      <c r="AM828" s="148"/>
      <c r="AN828" s="148"/>
      <c r="AO828" s="148"/>
      <c r="AP828" s="148"/>
      <c r="AQ828" s="148"/>
      <c r="AR828" s="148"/>
      <c r="AS828" s="148"/>
      <c r="AT828" s="148"/>
      <c r="AU828" s="148"/>
      <c r="AV828" s="148"/>
      <c r="AW828" s="148"/>
      <c r="AX828" s="148"/>
      <c r="AY828" s="148"/>
      <c r="AZ828" s="148"/>
    </row>
    <row r="829" spans="20:52" x14ac:dyDescent="0.45">
      <c r="T829" s="148"/>
      <c r="U829" s="148"/>
      <c r="V829" s="148"/>
      <c r="W829" s="148"/>
      <c r="X829" s="148"/>
      <c r="Y829" s="148"/>
      <c r="Z829" s="148"/>
      <c r="AA829" s="148"/>
      <c r="AB829" s="148"/>
      <c r="AC829" s="148"/>
      <c r="AD829" s="148"/>
      <c r="AE829" s="148"/>
      <c r="AF829" s="148"/>
      <c r="AG829" s="148"/>
      <c r="AH829" s="148"/>
      <c r="AI829" s="148"/>
      <c r="AJ829" s="148"/>
      <c r="AK829" s="148"/>
      <c r="AL829" s="148"/>
      <c r="AM829" s="148"/>
      <c r="AN829" s="148"/>
      <c r="AO829" s="148"/>
      <c r="AP829" s="148"/>
      <c r="AQ829" s="148"/>
      <c r="AR829" s="148"/>
      <c r="AS829" s="148"/>
      <c r="AT829" s="148"/>
      <c r="AU829" s="148"/>
      <c r="AV829" s="148"/>
      <c r="AW829" s="148"/>
      <c r="AX829" s="148"/>
      <c r="AY829" s="148"/>
      <c r="AZ829" s="148"/>
    </row>
    <row r="830" spans="20:52" x14ac:dyDescent="0.45">
      <c r="T830" s="148"/>
      <c r="U830" s="148"/>
      <c r="V830" s="148"/>
      <c r="W830" s="148"/>
      <c r="X830" s="148"/>
      <c r="Y830" s="148"/>
      <c r="Z830" s="148"/>
      <c r="AA830" s="148"/>
      <c r="AB830" s="148"/>
      <c r="AC830" s="148"/>
      <c r="AD830" s="148"/>
      <c r="AE830" s="148"/>
      <c r="AF830" s="148"/>
      <c r="AG830" s="148"/>
      <c r="AH830" s="148"/>
      <c r="AI830" s="148"/>
      <c r="AJ830" s="148"/>
      <c r="AK830" s="148"/>
      <c r="AL830" s="148"/>
      <c r="AM830" s="148"/>
      <c r="AN830" s="148"/>
      <c r="AO830" s="148"/>
      <c r="AP830" s="148"/>
      <c r="AQ830" s="148"/>
      <c r="AR830" s="148"/>
      <c r="AS830" s="148"/>
      <c r="AT830" s="148"/>
      <c r="AU830" s="148"/>
      <c r="AV830" s="148"/>
      <c r="AW830" s="148"/>
      <c r="AX830" s="148"/>
      <c r="AY830" s="148"/>
      <c r="AZ830" s="148"/>
    </row>
    <row r="831" spans="20:52" x14ac:dyDescent="0.45">
      <c r="T831" s="148"/>
      <c r="U831" s="148"/>
      <c r="V831" s="148"/>
      <c r="W831" s="148"/>
      <c r="X831" s="148"/>
      <c r="Y831" s="148"/>
      <c r="Z831" s="148"/>
      <c r="AA831" s="148"/>
      <c r="AB831" s="148"/>
      <c r="AC831" s="148"/>
      <c r="AD831" s="148"/>
      <c r="AE831" s="148"/>
      <c r="AF831" s="148"/>
      <c r="AG831" s="148"/>
      <c r="AH831" s="148"/>
      <c r="AI831" s="148"/>
      <c r="AJ831" s="148"/>
      <c r="AK831" s="148"/>
      <c r="AL831" s="148"/>
      <c r="AM831" s="148"/>
      <c r="AN831" s="148"/>
      <c r="AO831" s="148"/>
      <c r="AP831" s="148"/>
      <c r="AQ831" s="148"/>
      <c r="AR831" s="148"/>
      <c r="AS831" s="148"/>
      <c r="AT831" s="148"/>
      <c r="AU831" s="148"/>
      <c r="AV831" s="148"/>
      <c r="AW831" s="148"/>
      <c r="AX831" s="148"/>
      <c r="AY831" s="148"/>
      <c r="AZ831" s="148"/>
    </row>
    <row r="832" spans="20:52" x14ac:dyDescent="0.45">
      <c r="T832" s="148"/>
      <c r="U832" s="148"/>
      <c r="V832" s="148"/>
      <c r="W832" s="148"/>
      <c r="X832" s="148"/>
      <c r="Y832" s="148"/>
      <c r="Z832" s="148"/>
      <c r="AA832" s="148"/>
      <c r="AB832" s="148"/>
      <c r="AC832" s="148"/>
      <c r="AD832" s="148"/>
      <c r="AE832" s="148"/>
      <c r="AF832" s="148"/>
      <c r="AG832" s="148"/>
      <c r="AH832" s="148"/>
      <c r="AI832" s="148"/>
      <c r="AJ832" s="148"/>
      <c r="AK832" s="148"/>
      <c r="AL832" s="148"/>
      <c r="AM832" s="148"/>
      <c r="AN832" s="148"/>
      <c r="AO832" s="148"/>
      <c r="AP832" s="148"/>
      <c r="AQ832" s="148"/>
      <c r="AR832" s="148"/>
      <c r="AS832" s="148"/>
      <c r="AT832" s="148"/>
      <c r="AU832" s="148"/>
      <c r="AV832" s="148"/>
      <c r="AW832" s="148"/>
      <c r="AX832" s="148"/>
      <c r="AY832" s="148"/>
      <c r="AZ832" s="148"/>
    </row>
    <row r="833" spans="20:52" x14ac:dyDescent="0.45">
      <c r="T833" s="148"/>
      <c r="U833" s="148"/>
      <c r="V833" s="148"/>
      <c r="W833" s="148"/>
      <c r="X833" s="148"/>
      <c r="Y833" s="148"/>
      <c r="Z833" s="148"/>
      <c r="AA833" s="148"/>
      <c r="AB833" s="148"/>
      <c r="AC833" s="148"/>
      <c r="AD833" s="148"/>
      <c r="AE833" s="148"/>
      <c r="AF833" s="148"/>
      <c r="AG833" s="148"/>
      <c r="AH833" s="148"/>
      <c r="AI833" s="148"/>
      <c r="AJ833" s="148"/>
      <c r="AK833" s="148"/>
      <c r="AL833" s="148"/>
      <c r="AM833" s="148"/>
      <c r="AN833" s="148"/>
      <c r="AO833" s="148"/>
      <c r="AP833" s="148"/>
      <c r="AQ833" s="148"/>
      <c r="AR833" s="148"/>
      <c r="AS833" s="148"/>
      <c r="AT833" s="148"/>
      <c r="AU833" s="148"/>
      <c r="AV833" s="148"/>
      <c r="AW833" s="148"/>
      <c r="AX833" s="148"/>
      <c r="AY833" s="148"/>
      <c r="AZ833" s="148"/>
    </row>
    <row r="834" spans="20:52" x14ac:dyDescent="0.45">
      <c r="T834" s="148"/>
      <c r="U834" s="148"/>
      <c r="V834" s="148"/>
      <c r="W834" s="148"/>
      <c r="X834" s="148"/>
      <c r="Y834" s="148"/>
      <c r="Z834" s="148"/>
      <c r="AA834" s="148"/>
      <c r="AB834" s="148"/>
      <c r="AC834" s="148"/>
      <c r="AD834" s="148"/>
      <c r="AE834" s="148"/>
      <c r="AF834" s="148"/>
      <c r="AG834" s="148"/>
      <c r="AH834" s="148"/>
      <c r="AI834" s="148"/>
      <c r="AJ834" s="148"/>
      <c r="AK834" s="148"/>
      <c r="AL834" s="148"/>
      <c r="AM834" s="148"/>
      <c r="AN834" s="148"/>
      <c r="AO834" s="148"/>
      <c r="AP834" s="148"/>
      <c r="AQ834" s="148"/>
      <c r="AR834" s="148"/>
      <c r="AS834" s="148"/>
      <c r="AT834" s="148"/>
      <c r="AU834" s="148"/>
      <c r="AV834" s="148"/>
      <c r="AW834" s="148"/>
      <c r="AX834" s="148"/>
      <c r="AY834" s="148"/>
      <c r="AZ834" s="148"/>
    </row>
    <row r="835" spans="20:52" x14ac:dyDescent="0.45">
      <c r="T835" s="148"/>
      <c r="U835" s="148"/>
      <c r="V835" s="148"/>
      <c r="W835" s="148"/>
      <c r="X835" s="148"/>
      <c r="Y835" s="148"/>
      <c r="Z835" s="148"/>
      <c r="AA835" s="148"/>
      <c r="AB835" s="148"/>
      <c r="AC835" s="148"/>
      <c r="AD835" s="148"/>
      <c r="AE835" s="148"/>
      <c r="AF835" s="148"/>
      <c r="AG835" s="148"/>
      <c r="AH835" s="148"/>
      <c r="AI835" s="148"/>
      <c r="AJ835" s="148"/>
      <c r="AK835" s="148"/>
      <c r="AL835" s="148"/>
      <c r="AM835" s="148"/>
      <c r="AN835" s="148"/>
      <c r="AO835" s="148"/>
      <c r="AP835" s="148"/>
      <c r="AQ835" s="148"/>
      <c r="AR835" s="148"/>
      <c r="AS835" s="148"/>
      <c r="AT835" s="148"/>
      <c r="AU835" s="148"/>
      <c r="AV835" s="148"/>
      <c r="AW835" s="148"/>
      <c r="AX835" s="148"/>
      <c r="AY835" s="148"/>
      <c r="AZ835" s="148"/>
    </row>
    <row r="836" spans="20:52" x14ac:dyDescent="0.45">
      <c r="T836" s="148"/>
      <c r="U836" s="148"/>
      <c r="V836" s="148"/>
      <c r="W836" s="148"/>
      <c r="X836" s="148"/>
      <c r="Y836" s="148"/>
      <c r="Z836" s="148"/>
      <c r="AA836" s="148"/>
      <c r="AB836" s="148"/>
      <c r="AC836" s="148"/>
      <c r="AD836" s="148"/>
      <c r="AE836" s="148"/>
      <c r="AF836" s="148"/>
      <c r="AG836" s="148"/>
      <c r="AH836" s="148"/>
      <c r="AI836" s="148"/>
      <c r="AJ836" s="148"/>
      <c r="AK836" s="148"/>
      <c r="AL836" s="148"/>
      <c r="AM836" s="148"/>
      <c r="AN836" s="148"/>
      <c r="AO836" s="148"/>
      <c r="AP836" s="148"/>
      <c r="AQ836" s="148"/>
      <c r="AR836" s="148"/>
      <c r="AS836" s="148"/>
      <c r="AT836" s="148"/>
      <c r="AU836" s="148"/>
      <c r="AV836" s="148"/>
      <c r="AW836" s="148"/>
      <c r="AX836" s="148"/>
      <c r="AY836" s="148"/>
      <c r="AZ836" s="148"/>
    </row>
    <row r="837" spans="20:52" x14ac:dyDescent="0.45">
      <c r="T837" s="148"/>
      <c r="U837" s="148"/>
      <c r="V837" s="148"/>
      <c r="W837" s="148"/>
      <c r="X837" s="148"/>
      <c r="Y837" s="148"/>
      <c r="Z837" s="148"/>
      <c r="AA837" s="148"/>
      <c r="AB837" s="148"/>
      <c r="AC837" s="148"/>
      <c r="AD837" s="148"/>
      <c r="AE837" s="148"/>
      <c r="AF837" s="148"/>
      <c r="AG837" s="148"/>
      <c r="AH837" s="148"/>
      <c r="AI837" s="148"/>
      <c r="AJ837" s="148"/>
      <c r="AK837" s="148"/>
      <c r="AL837" s="148"/>
      <c r="AM837" s="148"/>
      <c r="AN837" s="148"/>
      <c r="AO837" s="148"/>
      <c r="AP837" s="148"/>
      <c r="AQ837" s="148"/>
      <c r="AR837" s="148"/>
      <c r="AS837" s="148"/>
      <c r="AT837" s="148"/>
      <c r="AU837" s="148"/>
      <c r="AV837" s="148"/>
      <c r="AW837" s="148"/>
      <c r="AX837" s="148"/>
      <c r="AY837" s="148"/>
      <c r="AZ837" s="148"/>
    </row>
    <row r="838" spans="20:52" x14ac:dyDescent="0.45">
      <c r="T838" s="148"/>
      <c r="U838" s="148"/>
      <c r="V838" s="148"/>
      <c r="W838" s="148"/>
      <c r="X838" s="148"/>
      <c r="Y838" s="148"/>
      <c r="Z838" s="148"/>
      <c r="AA838" s="148"/>
      <c r="AB838" s="148"/>
      <c r="AC838" s="148"/>
      <c r="AD838" s="148"/>
      <c r="AE838" s="148"/>
      <c r="AF838" s="148"/>
      <c r="AG838" s="148"/>
      <c r="AH838" s="148"/>
      <c r="AI838" s="148"/>
      <c r="AJ838" s="148"/>
      <c r="AK838" s="148"/>
      <c r="AL838" s="148"/>
      <c r="AM838" s="148"/>
      <c r="AN838" s="148"/>
      <c r="AO838" s="148"/>
      <c r="AP838" s="148"/>
      <c r="AQ838" s="148"/>
      <c r="AR838" s="148"/>
      <c r="AS838" s="148"/>
      <c r="AT838" s="148"/>
      <c r="AU838" s="148"/>
      <c r="AV838" s="148"/>
      <c r="AW838" s="148"/>
      <c r="AX838" s="148"/>
      <c r="AY838" s="148"/>
      <c r="AZ838" s="148"/>
    </row>
    <row r="839" spans="20:52" x14ac:dyDescent="0.45">
      <c r="T839" s="148"/>
      <c r="U839" s="148"/>
      <c r="V839" s="148"/>
      <c r="W839" s="148"/>
      <c r="X839" s="148"/>
      <c r="Y839" s="148"/>
      <c r="Z839" s="148"/>
      <c r="AA839" s="148"/>
      <c r="AB839" s="148"/>
      <c r="AC839" s="148"/>
      <c r="AD839" s="148"/>
      <c r="AE839" s="148"/>
      <c r="AF839" s="148"/>
      <c r="AG839" s="148"/>
      <c r="AH839" s="148"/>
      <c r="AI839" s="148"/>
      <c r="AJ839" s="148"/>
      <c r="AK839" s="148"/>
      <c r="AL839" s="148"/>
      <c r="AM839" s="148"/>
      <c r="AN839" s="148"/>
      <c r="AO839" s="148"/>
      <c r="AP839" s="148"/>
      <c r="AQ839" s="148"/>
      <c r="AR839" s="148"/>
      <c r="AS839" s="148"/>
      <c r="AT839" s="148"/>
      <c r="AU839" s="148"/>
      <c r="AV839" s="148"/>
      <c r="AW839" s="148"/>
      <c r="AX839" s="148"/>
      <c r="AY839" s="148"/>
      <c r="AZ839" s="148"/>
    </row>
    <row r="840" spans="20:52" x14ac:dyDescent="0.45">
      <c r="T840" s="148"/>
      <c r="U840" s="148"/>
      <c r="V840" s="148"/>
      <c r="W840" s="148"/>
      <c r="X840" s="148"/>
      <c r="Y840" s="148"/>
      <c r="Z840" s="148"/>
      <c r="AA840" s="148"/>
      <c r="AB840" s="148"/>
      <c r="AC840" s="148"/>
      <c r="AD840" s="148"/>
      <c r="AE840" s="148"/>
      <c r="AF840" s="148"/>
      <c r="AG840" s="148"/>
      <c r="AH840" s="148"/>
      <c r="AI840" s="148"/>
      <c r="AJ840" s="148"/>
      <c r="AK840" s="148"/>
      <c r="AL840" s="148"/>
      <c r="AM840" s="148"/>
      <c r="AN840" s="148"/>
      <c r="AO840" s="148"/>
      <c r="AP840" s="148"/>
      <c r="AQ840" s="148"/>
      <c r="AR840" s="148"/>
      <c r="AS840" s="148"/>
      <c r="AT840" s="148"/>
      <c r="AU840" s="148"/>
      <c r="AV840" s="148"/>
      <c r="AW840" s="148"/>
      <c r="AX840" s="148"/>
      <c r="AY840" s="148"/>
      <c r="AZ840" s="148"/>
    </row>
    <row r="841" spans="20:52" x14ac:dyDescent="0.45">
      <c r="T841" s="148"/>
      <c r="U841" s="148"/>
      <c r="V841" s="148"/>
      <c r="W841" s="148"/>
      <c r="X841" s="148"/>
      <c r="Y841" s="148"/>
      <c r="Z841" s="148"/>
      <c r="AA841" s="148"/>
      <c r="AB841" s="148"/>
      <c r="AC841" s="148"/>
      <c r="AD841" s="148"/>
      <c r="AE841" s="148"/>
      <c r="AF841" s="148"/>
      <c r="AG841" s="148"/>
      <c r="AH841" s="148"/>
      <c r="AI841" s="148"/>
      <c r="AJ841" s="148"/>
      <c r="AK841" s="148"/>
      <c r="AL841" s="148"/>
      <c r="AM841" s="148"/>
      <c r="AN841" s="148"/>
      <c r="AO841" s="148"/>
      <c r="AP841" s="148"/>
      <c r="AQ841" s="148"/>
      <c r="AR841" s="148"/>
      <c r="AS841" s="148"/>
      <c r="AT841" s="148"/>
      <c r="AU841" s="148"/>
      <c r="AV841" s="148"/>
      <c r="AW841" s="148"/>
      <c r="AX841" s="148"/>
      <c r="AY841" s="148"/>
      <c r="AZ841" s="148"/>
    </row>
    <row r="842" spans="20:52" x14ac:dyDescent="0.45">
      <c r="T842" s="148"/>
      <c r="U842" s="148"/>
      <c r="V842" s="148"/>
      <c r="W842" s="148"/>
      <c r="X842" s="148"/>
      <c r="Y842" s="148"/>
      <c r="Z842" s="148"/>
      <c r="AA842" s="148"/>
      <c r="AB842" s="148"/>
      <c r="AC842" s="148"/>
      <c r="AD842" s="148"/>
      <c r="AE842" s="148"/>
      <c r="AF842" s="148"/>
      <c r="AG842" s="148"/>
      <c r="AH842" s="148"/>
      <c r="AI842" s="148"/>
      <c r="AJ842" s="148"/>
      <c r="AK842" s="148"/>
      <c r="AL842" s="148"/>
      <c r="AM842" s="148"/>
      <c r="AN842" s="148"/>
      <c r="AO842" s="148"/>
      <c r="AP842" s="148"/>
      <c r="AQ842" s="148"/>
      <c r="AR842" s="148"/>
      <c r="AS842" s="148"/>
      <c r="AT842" s="148"/>
      <c r="AU842" s="148"/>
      <c r="AV842" s="148"/>
      <c r="AW842" s="148"/>
      <c r="AX842" s="148"/>
      <c r="AY842" s="148"/>
      <c r="AZ842" s="148"/>
    </row>
    <row r="843" spans="20:52" x14ac:dyDescent="0.45">
      <c r="T843" s="148"/>
      <c r="U843" s="148"/>
      <c r="V843" s="148"/>
      <c r="W843" s="148"/>
      <c r="X843" s="148"/>
      <c r="Y843" s="148"/>
      <c r="Z843" s="148"/>
      <c r="AA843" s="148"/>
      <c r="AB843" s="148"/>
      <c r="AC843" s="148"/>
      <c r="AD843" s="148"/>
      <c r="AE843" s="148"/>
      <c r="AF843" s="148"/>
      <c r="AG843" s="148"/>
      <c r="AH843" s="148"/>
      <c r="AI843" s="148"/>
      <c r="AJ843" s="148"/>
      <c r="AK843" s="148"/>
      <c r="AL843" s="148"/>
      <c r="AM843" s="148"/>
      <c r="AN843" s="148"/>
      <c r="AO843" s="148"/>
      <c r="AP843" s="148"/>
      <c r="AQ843" s="148"/>
      <c r="AR843" s="148"/>
      <c r="AS843" s="148"/>
      <c r="AT843" s="148"/>
      <c r="AU843" s="148"/>
      <c r="AV843" s="148"/>
      <c r="AW843" s="148"/>
      <c r="AX843" s="148"/>
      <c r="AY843" s="148"/>
      <c r="AZ843" s="148"/>
    </row>
    <row r="844" spans="20:52" x14ac:dyDescent="0.45">
      <c r="T844" s="148"/>
      <c r="U844" s="148"/>
      <c r="V844" s="148"/>
      <c r="W844" s="148"/>
      <c r="X844" s="148"/>
      <c r="Y844" s="148"/>
      <c r="Z844" s="148"/>
      <c r="AA844" s="148"/>
      <c r="AB844" s="148"/>
      <c r="AC844" s="148"/>
      <c r="AD844" s="148"/>
      <c r="AE844" s="148"/>
      <c r="AF844" s="148"/>
      <c r="AG844" s="148"/>
      <c r="AH844" s="148"/>
      <c r="AI844" s="148"/>
      <c r="AJ844" s="148"/>
      <c r="AK844" s="148"/>
      <c r="AL844" s="148"/>
      <c r="AM844" s="148"/>
      <c r="AN844" s="148"/>
      <c r="AO844" s="148"/>
      <c r="AP844" s="148"/>
      <c r="AQ844" s="148"/>
      <c r="AR844" s="148"/>
      <c r="AS844" s="148"/>
      <c r="AT844" s="148"/>
      <c r="AU844" s="148"/>
      <c r="AV844" s="148"/>
      <c r="AW844" s="148"/>
      <c r="AX844" s="148"/>
      <c r="AY844" s="148"/>
      <c r="AZ844" s="148"/>
    </row>
    <row r="845" spans="20:52" x14ac:dyDescent="0.45">
      <c r="T845" s="148"/>
      <c r="U845" s="148"/>
      <c r="V845" s="148"/>
      <c r="W845" s="148"/>
      <c r="X845" s="148"/>
      <c r="Y845" s="148"/>
      <c r="Z845" s="148"/>
      <c r="AA845" s="148"/>
      <c r="AB845" s="148"/>
      <c r="AC845" s="148"/>
      <c r="AD845" s="148"/>
      <c r="AE845" s="148"/>
      <c r="AF845" s="148"/>
      <c r="AG845" s="148"/>
      <c r="AH845" s="148"/>
      <c r="AI845" s="148"/>
      <c r="AJ845" s="148"/>
      <c r="AK845" s="148"/>
      <c r="AL845" s="148"/>
      <c r="AM845" s="148"/>
      <c r="AN845" s="148"/>
      <c r="AO845" s="148"/>
      <c r="AP845" s="148"/>
      <c r="AQ845" s="148"/>
      <c r="AR845" s="148"/>
      <c r="AS845" s="148"/>
      <c r="AT845" s="148"/>
      <c r="AU845" s="148"/>
      <c r="AV845" s="148"/>
      <c r="AW845" s="148"/>
      <c r="AX845" s="148"/>
      <c r="AY845" s="148"/>
      <c r="AZ845" s="148"/>
    </row>
    <row r="846" spans="20:52" x14ac:dyDescent="0.45">
      <c r="T846" s="148"/>
      <c r="U846" s="148"/>
      <c r="V846" s="148"/>
      <c r="W846" s="148"/>
      <c r="X846" s="148"/>
      <c r="Y846" s="148"/>
      <c r="Z846" s="148"/>
      <c r="AA846" s="148"/>
      <c r="AB846" s="148"/>
      <c r="AC846" s="148"/>
      <c r="AD846" s="148"/>
      <c r="AE846" s="148"/>
      <c r="AF846" s="148"/>
      <c r="AG846" s="148"/>
      <c r="AH846" s="148"/>
      <c r="AI846" s="148"/>
      <c r="AJ846" s="148"/>
      <c r="AK846" s="148"/>
      <c r="AL846" s="148"/>
      <c r="AM846" s="148"/>
      <c r="AN846" s="148"/>
      <c r="AO846" s="148"/>
      <c r="AP846" s="148"/>
      <c r="AQ846" s="148"/>
      <c r="AR846" s="148"/>
      <c r="AS846" s="148"/>
      <c r="AT846" s="148"/>
      <c r="AU846" s="148"/>
      <c r="AV846" s="148"/>
      <c r="AW846" s="148"/>
      <c r="AX846" s="148"/>
      <c r="AY846" s="148"/>
      <c r="AZ846" s="148"/>
    </row>
    <row r="847" spans="20:52" x14ac:dyDescent="0.45">
      <c r="T847" s="148"/>
      <c r="U847" s="148"/>
      <c r="V847" s="148"/>
      <c r="W847" s="148"/>
      <c r="X847" s="148"/>
      <c r="Y847" s="148"/>
      <c r="Z847" s="148"/>
      <c r="AA847" s="148"/>
      <c r="AB847" s="148"/>
      <c r="AC847" s="148"/>
      <c r="AD847" s="148"/>
      <c r="AE847" s="148"/>
      <c r="AF847" s="148"/>
      <c r="AG847" s="148"/>
      <c r="AH847" s="148"/>
      <c r="AI847" s="148"/>
      <c r="AJ847" s="148"/>
      <c r="AK847" s="148"/>
      <c r="AL847" s="148"/>
      <c r="AM847" s="148"/>
      <c r="AN847" s="148"/>
      <c r="AO847" s="148"/>
      <c r="AP847" s="148"/>
      <c r="AQ847" s="148"/>
      <c r="AR847" s="148"/>
      <c r="AS847" s="148"/>
      <c r="AT847" s="148"/>
      <c r="AU847" s="148"/>
      <c r="AV847" s="148"/>
      <c r="AW847" s="148"/>
      <c r="AX847" s="148"/>
      <c r="AY847" s="148"/>
      <c r="AZ847" s="148"/>
    </row>
    <row r="848" spans="20:52" x14ac:dyDescent="0.45">
      <c r="T848" s="148"/>
      <c r="U848" s="148"/>
      <c r="V848" s="148"/>
      <c r="W848" s="148"/>
      <c r="X848" s="148"/>
      <c r="Y848" s="148"/>
      <c r="Z848" s="148"/>
      <c r="AA848" s="148"/>
      <c r="AB848" s="148"/>
      <c r="AC848" s="148"/>
      <c r="AD848" s="148"/>
      <c r="AE848" s="148"/>
      <c r="AF848" s="148"/>
      <c r="AG848" s="148"/>
      <c r="AH848" s="148"/>
      <c r="AI848" s="148"/>
      <c r="AJ848" s="148"/>
      <c r="AK848" s="148"/>
      <c r="AL848" s="148"/>
      <c r="AM848" s="148"/>
      <c r="AN848" s="148"/>
      <c r="AO848" s="148"/>
      <c r="AP848" s="148"/>
      <c r="AQ848" s="148"/>
      <c r="AR848" s="148"/>
      <c r="AS848" s="148"/>
      <c r="AT848" s="148"/>
      <c r="AU848" s="148"/>
      <c r="AV848" s="148"/>
      <c r="AW848" s="148"/>
      <c r="AX848" s="148"/>
      <c r="AY848" s="148"/>
      <c r="AZ848" s="148"/>
    </row>
    <row r="849" spans="20:52" x14ac:dyDescent="0.45">
      <c r="T849" s="148"/>
      <c r="U849" s="148"/>
      <c r="V849" s="148"/>
      <c r="W849" s="148"/>
      <c r="X849" s="148"/>
      <c r="Y849" s="148"/>
      <c r="Z849" s="148"/>
      <c r="AA849" s="148"/>
      <c r="AB849" s="148"/>
      <c r="AC849" s="148"/>
      <c r="AD849" s="148"/>
      <c r="AE849" s="148"/>
      <c r="AF849" s="148"/>
      <c r="AG849" s="148"/>
      <c r="AH849" s="148"/>
      <c r="AI849" s="148"/>
      <c r="AJ849" s="148"/>
      <c r="AK849" s="148"/>
      <c r="AL849" s="148"/>
      <c r="AM849" s="148"/>
      <c r="AN849" s="148"/>
      <c r="AO849" s="148"/>
      <c r="AP849" s="148"/>
      <c r="AQ849" s="148"/>
      <c r="AR849" s="148"/>
      <c r="AS849" s="148"/>
      <c r="AT849" s="148"/>
      <c r="AU849" s="148"/>
      <c r="AV849" s="148"/>
      <c r="AW849" s="148"/>
      <c r="AX849" s="148"/>
      <c r="AY849" s="148"/>
      <c r="AZ849" s="148"/>
    </row>
    <row r="850" spans="20:52" x14ac:dyDescent="0.45">
      <c r="T850" s="148"/>
      <c r="U850" s="148"/>
      <c r="V850" s="148"/>
      <c r="W850" s="148"/>
      <c r="X850" s="148"/>
      <c r="Y850" s="148"/>
      <c r="Z850" s="148"/>
      <c r="AA850" s="148"/>
      <c r="AB850" s="148"/>
      <c r="AC850" s="148"/>
      <c r="AD850" s="148"/>
      <c r="AE850" s="148"/>
      <c r="AF850" s="148"/>
      <c r="AG850" s="148"/>
      <c r="AH850" s="148"/>
      <c r="AI850" s="148"/>
      <c r="AJ850" s="148"/>
      <c r="AK850" s="148"/>
      <c r="AL850" s="148"/>
      <c r="AM850" s="148"/>
      <c r="AN850" s="148"/>
      <c r="AO850" s="148"/>
      <c r="AP850" s="148"/>
      <c r="AQ850" s="148"/>
      <c r="AR850" s="148"/>
      <c r="AS850" s="148"/>
      <c r="AT850" s="148"/>
      <c r="AU850" s="148"/>
      <c r="AV850" s="148"/>
      <c r="AW850" s="148"/>
      <c r="AX850" s="148"/>
      <c r="AY850" s="148"/>
      <c r="AZ850" s="148"/>
    </row>
    <row r="851" spans="20:52" x14ac:dyDescent="0.45">
      <c r="T851" s="148"/>
      <c r="U851" s="148"/>
      <c r="V851" s="148"/>
      <c r="W851" s="148"/>
      <c r="X851" s="148"/>
      <c r="Y851" s="148"/>
      <c r="Z851" s="148"/>
      <c r="AA851" s="148"/>
      <c r="AB851" s="148"/>
      <c r="AC851" s="148"/>
      <c r="AD851" s="148"/>
      <c r="AE851" s="148"/>
      <c r="AF851" s="148"/>
      <c r="AG851" s="148"/>
      <c r="AH851" s="148"/>
      <c r="AI851" s="148"/>
      <c r="AJ851" s="148"/>
      <c r="AK851" s="148"/>
      <c r="AL851" s="148"/>
      <c r="AM851" s="148"/>
      <c r="AN851" s="148"/>
      <c r="AO851" s="148"/>
      <c r="AP851" s="148"/>
      <c r="AQ851" s="148"/>
      <c r="AR851" s="148"/>
      <c r="AS851" s="148"/>
      <c r="AT851" s="148"/>
      <c r="AU851" s="148"/>
      <c r="AV851" s="148"/>
      <c r="AW851" s="148"/>
      <c r="AX851" s="148"/>
      <c r="AY851" s="148"/>
      <c r="AZ851" s="148"/>
    </row>
    <row r="852" spans="20:52" x14ac:dyDescent="0.45">
      <c r="T852" s="148"/>
      <c r="U852" s="148"/>
      <c r="V852" s="148"/>
      <c r="W852" s="148"/>
      <c r="X852" s="148"/>
      <c r="Y852" s="148"/>
      <c r="Z852" s="148"/>
      <c r="AA852" s="148"/>
      <c r="AB852" s="148"/>
      <c r="AC852" s="148"/>
      <c r="AD852" s="148"/>
      <c r="AE852" s="148"/>
      <c r="AF852" s="148"/>
      <c r="AG852" s="148"/>
      <c r="AH852" s="148"/>
      <c r="AI852" s="148"/>
      <c r="AJ852" s="148"/>
      <c r="AK852" s="148"/>
      <c r="AL852" s="148"/>
      <c r="AM852" s="148"/>
      <c r="AN852" s="148"/>
      <c r="AO852" s="148"/>
      <c r="AP852" s="148"/>
      <c r="AQ852" s="148"/>
      <c r="AR852" s="148"/>
      <c r="AS852" s="148"/>
      <c r="AT852" s="148"/>
      <c r="AU852" s="148"/>
      <c r="AV852" s="148"/>
      <c r="AW852" s="148"/>
      <c r="AX852" s="148"/>
      <c r="AY852" s="148"/>
      <c r="AZ852" s="148"/>
    </row>
    <row r="853" spans="20:52" x14ac:dyDescent="0.45">
      <c r="T853" s="148"/>
      <c r="U853" s="148"/>
      <c r="V853" s="148"/>
      <c r="W853" s="148"/>
      <c r="X853" s="148"/>
      <c r="Y853" s="148"/>
      <c r="Z853" s="148"/>
      <c r="AA853" s="148"/>
      <c r="AB853" s="148"/>
      <c r="AC853" s="148"/>
      <c r="AD853" s="148"/>
      <c r="AE853" s="148"/>
      <c r="AF853" s="148"/>
      <c r="AG853" s="148"/>
      <c r="AH853" s="148"/>
      <c r="AI853" s="148"/>
      <c r="AJ853" s="148"/>
      <c r="AK853" s="148"/>
      <c r="AL853" s="148"/>
      <c r="AM853" s="148"/>
      <c r="AN853" s="148"/>
      <c r="AO853" s="148"/>
      <c r="AP853" s="148"/>
      <c r="AQ853" s="148"/>
      <c r="AR853" s="148"/>
      <c r="AS853" s="148"/>
      <c r="AT853" s="148"/>
      <c r="AU853" s="148"/>
      <c r="AV853" s="148"/>
      <c r="AW853" s="148"/>
      <c r="AX853" s="148"/>
      <c r="AY853" s="148"/>
      <c r="AZ853" s="148"/>
    </row>
    <row r="854" spans="20:52" x14ac:dyDescent="0.45">
      <c r="T854" s="148"/>
      <c r="U854" s="148"/>
      <c r="V854" s="148"/>
      <c r="W854" s="148"/>
      <c r="X854" s="148"/>
      <c r="Y854" s="148"/>
      <c r="Z854" s="148"/>
      <c r="AA854" s="148"/>
      <c r="AB854" s="148"/>
      <c r="AC854" s="148"/>
      <c r="AD854" s="148"/>
      <c r="AE854" s="148"/>
      <c r="AF854" s="148"/>
      <c r="AG854" s="148"/>
      <c r="AH854" s="148"/>
      <c r="AI854" s="148"/>
      <c r="AJ854" s="148"/>
      <c r="AK854" s="148"/>
      <c r="AL854" s="148"/>
      <c r="AM854" s="148"/>
      <c r="AN854" s="148"/>
      <c r="AO854" s="148"/>
      <c r="AP854" s="148"/>
      <c r="AQ854" s="148"/>
      <c r="AR854" s="148"/>
      <c r="AS854" s="148"/>
      <c r="AT854" s="148"/>
      <c r="AU854" s="148"/>
      <c r="AV854" s="148"/>
      <c r="AW854" s="148"/>
      <c r="AX854" s="148"/>
      <c r="AY854" s="148"/>
      <c r="AZ854" s="148"/>
    </row>
    <row r="855" spans="20:52" x14ac:dyDescent="0.45">
      <c r="T855" s="148"/>
      <c r="U855" s="148"/>
      <c r="V855" s="148"/>
      <c r="W855" s="148"/>
      <c r="X855" s="148"/>
      <c r="Y855" s="148"/>
      <c r="Z855" s="148"/>
      <c r="AA855" s="148"/>
      <c r="AB855" s="148"/>
      <c r="AC855" s="148"/>
      <c r="AD855" s="148"/>
      <c r="AE855" s="148"/>
      <c r="AF855" s="148"/>
      <c r="AG855" s="148"/>
      <c r="AH855" s="148"/>
      <c r="AI855" s="148"/>
      <c r="AJ855" s="148"/>
      <c r="AK855" s="148"/>
      <c r="AL855" s="148"/>
      <c r="AM855" s="148"/>
      <c r="AN855" s="148"/>
      <c r="AO855" s="148"/>
      <c r="AP855" s="148"/>
      <c r="AQ855" s="148"/>
      <c r="AR855" s="148"/>
      <c r="AS855" s="148"/>
      <c r="AT855" s="148"/>
      <c r="AU855" s="148"/>
      <c r="AV855" s="148"/>
      <c r="AW855" s="148"/>
      <c r="AX855" s="148"/>
      <c r="AY855" s="148"/>
      <c r="AZ855" s="148"/>
    </row>
    <row r="856" spans="20:52" x14ac:dyDescent="0.45">
      <c r="T856" s="148"/>
      <c r="U856" s="148"/>
      <c r="V856" s="148"/>
      <c r="W856" s="148"/>
      <c r="X856" s="148"/>
      <c r="Y856" s="148"/>
      <c r="Z856" s="148"/>
      <c r="AA856" s="148"/>
      <c r="AB856" s="148"/>
      <c r="AC856" s="148"/>
      <c r="AD856" s="148"/>
      <c r="AE856" s="148"/>
      <c r="AF856" s="148"/>
      <c r="AG856" s="148"/>
      <c r="AH856" s="148"/>
      <c r="AI856" s="148"/>
      <c r="AJ856" s="148"/>
      <c r="AK856" s="148"/>
      <c r="AL856" s="148"/>
      <c r="AM856" s="148"/>
      <c r="AN856" s="148"/>
      <c r="AO856" s="148"/>
      <c r="AP856" s="148"/>
      <c r="AQ856" s="148"/>
      <c r="AR856" s="148"/>
      <c r="AS856" s="148"/>
      <c r="AT856" s="148"/>
      <c r="AU856" s="148"/>
      <c r="AV856" s="148"/>
      <c r="AW856" s="148"/>
      <c r="AX856" s="148"/>
      <c r="AY856" s="148"/>
      <c r="AZ856" s="148"/>
    </row>
    <row r="857" spans="20:52" x14ac:dyDescent="0.45">
      <c r="T857" s="148"/>
      <c r="U857" s="148"/>
      <c r="V857" s="148"/>
      <c r="W857" s="148"/>
      <c r="X857" s="148"/>
      <c r="Y857" s="148"/>
      <c r="Z857" s="148"/>
      <c r="AA857" s="148"/>
      <c r="AB857" s="148"/>
      <c r="AC857" s="148"/>
      <c r="AD857" s="148"/>
      <c r="AE857" s="148"/>
      <c r="AF857" s="148"/>
      <c r="AG857" s="148"/>
      <c r="AH857" s="148"/>
      <c r="AI857" s="148"/>
      <c r="AJ857" s="148"/>
      <c r="AK857" s="148"/>
      <c r="AL857" s="148"/>
      <c r="AM857" s="148"/>
      <c r="AN857" s="148"/>
      <c r="AO857" s="148"/>
      <c r="AP857" s="148"/>
      <c r="AQ857" s="148"/>
      <c r="AR857" s="148"/>
      <c r="AS857" s="148"/>
      <c r="AT857" s="148"/>
      <c r="AU857" s="148"/>
      <c r="AV857" s="148"/>
      <c r="AW857" s="148"/>
      <c r="AX857" s="148"/>
      <c r="AY857" s="148"/>
      <c r="AZ857" s="148"/>
    </row>
    <row r="858" spans="20:52" x14ac:dyDescent="0.45">
      <c r="T858" s="148"/>
      <c r="U858" s="148"/>
      <c r="V858" s="148"/>
      <c r="W858" s="148"/>
      <c r="X858" s="148"/>
      <c r="Y858" s="148"/>
      <c r="Z858" s="148"/>
      <c r="AA858" s="148"/>
      <c r="AB858" s="148"/>
      <c r="AC858" s="148"/>
      <c r="AD858" s="148"/>
      <c r="AE858" s="148"/>
      <c r="AF858" s="148"/>
      <c r="AG858" s="148"/>
      <c r="AH858" s="148"/>
      <c r="AI858" s="148"/>
      <c r="AJ858" s="148"/>
      <c r="AK858" s="148"/>
      <c r="AL858" s="148"/>
      <c r="AM858" s="148"/>
      <c r="AN858" s="148"/>
      <c r="AO858" s="148"/>
      <c r="AP858" s="148"/>
      <c r="AQ858" s="148"/>
      <c r="AR858" s="148"/>
      <c r="AS858" s="148"/>
      <c r="AT858" s="148"/>
      <c r="AU858" s="148"/>
      <c r="AV858" s="148"/>
      <c r="AW858" s="148"/>
      <c r="AX858" s="148"/>
      <c r="AY858" s="148"/>
      <c r="AZ858" s="148"/>
    </row>
    <row r="859" spans="20:52" x14ac:dyDescent="0.45">
      <c r="T859" s="148"/>
      <c r="U859" s="148"/>
      <c r="V859" s="148"/>
      <c r="W859" s="148"/>
      <c r="X859" s="148"/>
      <c r="Y859" s="148"/>
      <c r="Z859" s="148"/>
      <c r="AA859" s="148"/>
      <c r="AB859" s="148"/>
      <c r="AC859" s="148"/>
      <c r="AD859" s="148"/>
      <c r="AE859" s="148"/>
      <c r="AF859" s="148"/>
      <c r="AG859" s="148"/>
      <c r="AH859" s="148"/>
      <c r="AI859" s="148"/>
      <c r="AJ859" s="148"/>
      <c r="AK859" s="148"/>
      <c r="AL859" s="148"/>
      <c r="AM859" s="148"/>
      <c r="AN859" s="148"/>
      <c r="AO859" s="148"/>
      <c r="AP859" s="148"/>
      <c r="AQ859" s="148"/>
      <c r="AR859" s="148"/>
      <c r="AS859" s="148"/>
      <c r="AT859" s="148"/>
      <c r="AU859" s="148"/>
      <c r="AV859" s="148"/>
      <c r="AW859" s="148"/>
      <c r="AX859" s="148"/>
      <c r="AY859" s="148"/>
      <c r="AZ859" s="148"/>
    </row>
    <row r="860" spans="20:52" x14ac:dyDescent="0.45">
      <c r="T860" s="148"/>
      <c r="U860" s="148"/>
      <c r="V860" s="148"/>
      <c r="W860" s="148"/>
      <c r="X860" s="148"/>
      <c r="Y860" s="148"/>
      <c r="Z860" s="148"/>
      <c r="AA860" s="148"/>
      <c r="AB860" s="148"/>
      <c r="AC860" s="148"/>
      <c r="AD860" s="148"/>
      <c r="AE860" s="148"/>
      <c r="AF860" s="148"/>
      <c r="AG860" s="148"/>
      <c r="AH860" s="148"/>
      <c r="AI860" s="148"/>
      <c r="AJ860" s="148"/>
      <c r="AK860" s="148"/>
      <c r="AL860" s="148"/>
      <c r="AM860" s="148"/>
      <c r="AN860" s="148"/>
      <c r="AO860" s="148"/>
      <c r="AP860" s="148"/>
      <c r="AQ860" s="148"/>
      <c r="AR860" s="148"/>
      <c r="AS860" s="148"/>
      <c r="AT860" s="148"/>
      <c r="AU860" s="148"/>
      <c r="AV860" s="148"/>
      <c r="AW860" s="148"/>
      <c r="AX860" s="148"/>
      <c r="AY860" s="148"/>
      <c r="AZ860" s="148"/>
    </row>
    <row r="861" spans="20:52" x14ac:dyDescent="0.45">
      <c r="T861" s="148"/>
      <c r="U861" s="148"/>
      <c r="V861" s="148"/>
      <c r="W861" s="148"/>
      <c r="X861" s="148"/>
      <c r="Y861" s="148"/>
      <c r="Z861" s="148"/>
      <c r="AA861" s="148"/>
      <c r="AB861" s="148"/>
      <c r="AC861" s="148"/>
      <c r="AD861" s="148"/>
      <c r="AE861" s="148"/>
      <c r="AF861" s="148"/>
      <c r="AG861" s="148"/>
      <c r="AH861" s="148"/>
      <c r="AI861" s="148"/>
      <c r="AJ861" s="148"/>
      <c r="AK861" s="148"/>
      <c r="AL861" s="148"/>
      <c r="AM861" s="148"/>
      <c r="AN861" s="148"/>
      <c r="AO861" s="148"/>
      <c r="AP861" s="148"/>
      <c r="AQ861" s="148"/>
      <c r="AR861" s="148"/>
      <c r="AS861" s="148"/>
      <c r="AT861" s="148"/>
      <c r="AU861" s="148"/>
      <c r="AV861" s="148"/>
      <c r="AW861" s="148"/>
      <c r="AX861" s="148"/>
      <c r="AY861" s="148"/>
      <c r="AZ861" s="148"/>
    </row>
    <row r="862" spans="20:52" x14ac:dyDescent="0.45">
      <c r="T862" s="148"/>
      <c r="U862" s="148"/>
      <c r="V862" s="148"/>
      <c r="W862" s="148"/>
      <c r="X862" s="148"/>
      <c r="Y862" s="148"/>
      <c r="Z862" s="148"/>
      <c r="AA862" s="148"/>
      <c r="AB862" s="148"/>
      <c r="AC862" s="148"/>
      <c r="AD862" s="148"/>
      <c r="AE862" s="148"/>
      <c r="AF862" s="148"/>
      <c r="AG862" s="148"/>
      <c r="AH862" s="148"/>
      <c r="AI862" s="148"/>
      <c r="AJ862" s="148"/>
      <c r="AK862" s="148"/>
      <c r="AL862" s="148"/>
      <c r="AM862" s="148"/>
      <c r="AN862" s="148"/>
      <c r="AO862" s="148"/>
      <c r="AP862" s="148"/>
      <c r="AQ862" s="148"/>
      <c r="AR862" s="148"/>
      <c r="AS862" s="148"/>
      <c r="AT862" s="148"/>
      <c r="AU862" s="148"/>
      <c r="AV862" s="148"/>
      <c r="AW862" s="148"/>
      <c r="AX862" s="148"/>
      <c r="AY862" s="148"/>
      <c r="AZ862" s="148"/>
    </row>
    <row r="863" spans="20:52" x14ac:dyDescent="0.45">
      <c r="T863" s="148"/>
      <c r="U863" s="148"/>
      <c r="V863" s="148"/>
      <c r="W863" s="148"/>
      <c r="X863" s="148"/>
      <c r="Y863" s="148"/>
      <c r="Z863" s="148"/>
      <c r="AA863" s="148"/>
      <c r="AB863" s="148"/>
      <c r="AC863" s="148"/>
      <c r="AD863" s="148"/>
      <c r="AE863" s="148"/>
      <c r="AF863" s="148"/>
      <c r="AG863" s="148"/>
      <c r="AH863" s="148"/>
      <c r="AI863" s="148"/>
      <c r="AJ863" s="148"/>
      <c r="AK863" s="148"/>
      <c r="AL863" s="148"/>
      <c r="AM863" s="148"/>
      <c r="AN863" s="148"/>
      <c r="AO863" s="148"/>
      <c r="AP863" s="148"/>
      <c r="AQ863" s="148"/>
      <c r="AR863" s="148"/>
      <c r="AS863" s="148"/>
      <c r="AT863" s="148"/>
      <c r="AU863" s="148"/>
      <c r="AV863" s="148"/>
      <c r="AW863" s="148"/>
      <c r="AX863" s="148"/>
      <c r="AY863" s="148"/>
      <c r="AZ863" s="148"/>
    </row>
    <row r="864" spans="20:52" x14ac:dyDescent="0.45">
      <c r="T864" s="148"/>
      <c r="U864" s="148"/>
      <c r="V864" s="148"/>
      <c r="W864" s="148"/>
      <c r="X864" s="148"/>
      <c r="Y864" s="148"/>
      <c r="Z864" s="148"/>
      <c r="AA864" s="148"/>
      <c r="AB864" s="148"/>
      <c r="AC864" s="148"/>
      <c r="AD864" s="148"/>
      <c r="AE864" s="148"/>
      <c r="AF864" s="148"/>
      <c r="AG864" s="148"/>
      <c r="AH864" s="148"/>
      <c r="AI864" s="148"/>
      <c r="AJ864" s="148"/>
      <c r="AK864" s="148"/>
      <c r="AL864" s="148"/>
      <c r="AM864" s="148"/>
      <c r="AN864" s="148"/>
      <c r="AO864" s="148"/>
      <c r="AP864" s="148"/>
      <c r="AQ864" s="148"/>
      <c r="AR864" s="148"/>
      <c r="AS864" s="148"/>
      <c r="AT864" s="148"/>
      <c r="AU864" s="148"/>
      <c r="AV864" s="148"/>
      <c r="AW864" s="148"/>
      <c r="AX864" s="148"/>
      <c r="AY864" s="148"/>
      <c r="AZ864" s="148"/>
    </row>
    <row r="865" spans="20:52" x14ac:dyDescent="0.45">
      <c r="T865" s="148"/>
      <c r="U865" s="148"/>
      <c r="V865" s="148"/>
      <c r="W865" s="148"/>
      <c r="X865" s="148"/>
      <c r="Y865" s="148"/>
      <c r="Z865" s="148"/>
      <c r="AA865" s="148"/>
      <c r="AB865" s="148"/>
      <c r="AC865" s="148"/>
      <c r="AD865" s="148"/>
      <c r="AE865" s="148"/>
      <c r="AF865" s="148"/>
      <c r="AG865" s="148"/>
      <c r="AH865" s="148"/>
      <c r="AI865" s="148"/>
      <c r="AJ865" s="148"/>
      <c r="AK865" s="148"/>
      <c r="AL865" s="148"/>
      <c r="AM865" s="148"/>
      <c r="AN865" s="148"/>
      <c r="AO865" s="148"/>
      <c r="AP865" s="148"/>
      <c r="AQ865" s="148"/>
      <c r="AR865" s="148"/>
      <c r="AS865" s="148"/>
      <c r="AT865" s="148"/>
      <c r="AU865" s="148"/>
      <c r="AV865" s="148"/>
      <c r="AW865" s="148"/>
      <c r="AX865" s="148"/>
      <c r="AY865" s="148"/>
      <c r="AZ865" s="148"/>
    </row>
    <row r="866" spans="20:52" x14ac:dyDescent="0.45">
      <c r="T866" s="148"/>
      <c r="U866" s="148"/>
      <c r="V866" s="148"/>
      <c r="W866" s="148"/>
      <c r="X866" s="148"/>
      <c r="Y866" s="148"/>
      <c r="Z866" s="148"/>
      <c r="AA866" s="148"/>
      <c r="AB866" s="148"/>
      <c r="AC866" s="148"/>
      <c r="AD866" s="148"/>
      <c r="AE866" s="148"/>
      <c r="AF866" s="148"/>
      <c r="AG866" s="148"/>
      <c r="AH866" s="148"/>
      <c r="AI866" s="148"/>
      <c r="AJ866" s="148"/>
      <c r="AK866" s="148"/>
      <c r="AL866" s="148"/>
      <c r="AM866" s="148"/>
      <c r="AN866" s="148"/>
      <c r="AO866" s="148"/>
      <c r="AP866" s="148"/>
      <c r="AQ866" s="148"/>
      <c r="AR866" s="148"/>
      <c r="AS866" s="148"/>
      <c r="AT866" s="148"/>
      <c r="AU866" s="148"/>
      <c r="AV866" s="148"/>
      <c r="AW866" s="148"/>
      <c r="AX866" s="148"/>
      <c r="AY866" s="148"/>
      <c r="AZ866" s="148"/>
    </row>
    <row r="867" spans="20:52" x14ac:dyDescent="0.45">
      <c r="T867" s="148"/>
      <c r="U867" s="148"/>
      <c r="V867" s="148"/>
      <c r="W867" s="148"/>
      <c r="X867" s="148"/>
      <c r="Y867" s="148"/>
      <c r="Z867" s="148"/>
      <c r="AA867" s="148"/>
      <c r="AB867" s="148"/>
      <c r="AC867" s="148"/>
      <c r="AD867" s="148"/>
      <c r="AE867" s="148"/>
      <c r="AF867" s="148"/>
      <c r="AG867" s="148"/>
      <c r="AH867" s="148"/>
      <c r="AI867" s="148"/>
      <c r="AJ867" s="148"/>
      <c r="AK867" s="148"/>
      <c r="AL867" s="148"/>
      <c r="AM867" s="148"/>
      <c r="AN867" s="148"/>
      <c r="AO867" s="148"/>
      <c r="AP867" s="148"/>
      <c r="AQ867" s="148"/>
      <c r="AR867" s="148"/>
      <c r="AS867" s="148"/>
      <c r="AT867" s="148"/>
      <c r="AU867" s="148"/>
      <c r="AV867" s="148"/>
      <c r="AW867" s="148"/>
      <c r="AX867" s="148"/>
      <c r="AY867" s="148"/>
      <c r="AZ867" s="148"/>
    </row>
    <row r="868" spans="20:52" x14ac:dyDescent="0.45">
      <c r="T868" s="148"/>
      <c r="U868" s="148"/>
      <c r="V868" s="148"/>
      <c r="W868" s="148"/>
      <c r="X868" s="148"/>
      <c r="Y868" s="148"/>
      <c r="Z868" s="148"/>
      <c r="AA868" s="148"/>
      <c r="AB868" s="148"/>
      <c r="AC868" s="148"/>
      <c r="AD868" s="148"/>
      <c r="AE868" s="148"/>
      <c r="AF868" s="148"/>
      <c r="AG868" s="148"/>
      <c r="AH868" s="148"/>
      <c r="AI868" s="148"/>
      <c r="AJ868" s="148"/>
      <c r="AK868" s="148"/>
      <c r="AL868" s="148"/>
      <c r="AM868" s="148"/>
      <c r="AN868" s="148"/>
      <c r="AO868" s="148"/>
      <c r="AP868" s="148"/>
      <c r="AQ868" s="148"/>
      <c r="AR868" s="148"/>
      <c r="AS868" s="148"/>
      <c r="AT868" s="148"/>
      <c r="AU868" s="148"/>
      <c r="AV868" s="148"/>
      <c r="AW868" s="148"/>
      <c r="AX868" s="148"/>
      <c r="AY868" s="148"/>
      <c r="AZ868" s="148"/>
    </row>
    <row r="869" spans="20:52" x14ac:dyDescent="0.45">
      <c r="T869" s="148"/>
      <c r="U869" s="148"/>
      <c r="V869" s="148"/>
      <c r="W869" s="148"/>
      <c r="X869" s="148"/>
      <c r="Y869" s="148"/>
      <c r="Z869" s="148"/>
      <c r="AA869" s="148"/>
      <c r="AB869" s="148"/>
      <c r="AC869" s="148"/>
      <c r="AD869" s="148"/>
      <c r="AE869" s="148"/>
      <c r="AF869" s="148"/>
      <c r="AG869" s="148"/>
      <c r="AH869" s="148"/>
      <c r="AI869" s="148"/>
      <c r="AJ869" s="148"/>
      <c r="AK869" s="148"/>
      <c r="AL869" s="148"/>
      <c r="AM869" s="148"/>
      <c r="AN869" s="148"/>
      <c r="AO869" s="148"/>
      <c r="AP869" s="148"/>
      <c r="AQ869" s="148"/>
      <c r="AR869" s="148"/>
      <c r="AS869" s="148"/>
      <c r="AT869" s="148"/>
      <c r="AU869" s="148"/>
      <c r="AV869" s="148"/>
      <c r="AW869" s="148"/>
      <c r="AX869" s="148"/>
      <c r="AY869" s="148"/>
      <c r="AZ869" s="148"/>
    </row>
    <row r="870" spans="20:52" x14ac:dyDescent="0.45">
      <c r="T870" s="148"/>
      <c r="U870" s="148"/>
      <c r="V870" s="148"/>
      <c r="W870" s="148"/>
      <c r="X870" s="148"/>
      <c r="Y870" s="148"/>
      <c r="Z870" s="148"/>
      <c r="AA870" s="148"/>
      <c r="AB870" s="148"/>
      <c r="AC870" s="148"/>
      <c r="AD870" s="148"/>
      <c r="AE870" s="148"/>
      <c r="AF870" s="148"/>
      <c r="AG870" s="148"/>
      <c r="AH870" s="148"/>
      <c r="AI870" s="148"/>
      <c r="AJ870" s="148"/>
      <c r="AK870" s="148"/>
      <c r="AL870" s="148"/>
      <c r="AM870" s="148"/>
      <c r="AN870" s="148"/>
      <c r="AO870" s="148"/>
      <c r="AP870" s="148"/>
      <c r="AQ870" s="148"/>
      <c r="AR870" s="148"/>
      <c r="AS870" s="148"/>
      <c r="AT870" s="148"/>
      <c r="AU870" s="148"/>
      <c r="AV870" s="148"/>
      <c r="AW870" s="148"/>
      <c r="AX870" s="148"/>
      <c r="AY870" s="148"/>
      <c r="AZ870" s="148"/>
    </row>
    <row r="871" spans="20:52" x14ac:dyDescent="0.45">
      <c r="T871" s="148"/>
      <c r="U871" s="148"/>
      <c r="V871" s="148"/>
      <c r="W871" s="148"/>
      <c r="X871" s="148"/>
      <c r="Y871" s="148"/>
      <c r="Z871" s="148"/>
      <c r="AA871" s="148"/>
      <c r="AB871" s="148"/>
      <c r="AC871" s="148"/>
      <c r="AD871" s="148"/>
      <c r="AE871" s="148"/>
      <c r="AF871" s="148"/>
      <c r="AG871" s="148"/>
      <c r="AH871" s="148"/>
      <c r="AI871" s="148"/>
      <c r="AJ871" s="148"/>
      <c r="AK871" s="148"/>
      <c r="AL871" s="148"/>
      <c r="AM871" s="148"/>
      <c r="AN871" s="148"/>
      <c r="AO871" s="148"/>
      <c r="AP871" s="148"/>
      <c r="AQ871" s="148"/>
      <c r="AR871" s="148"/>
      <c r="AS871" s="148"/>
      <c r="AT871" s="148"/>
      <c r="AU871" s="148"/>
      <c r="AV871" s="148"/>
      <c r="AW871" s="148"/>
      <c r="AX871" s="148"/>
      <c r="AY871" s="148"/>
      <c r="AZ871" s="148"/>
    </row>
    <row r="872" spans="20:52" x14ac:dyDescent="0.45">
      <c r="T872" s="148"/>
      <c r="U872" s="148"/>
      <c r="V872" s="148"/>
      <c r="W872" s="148"/>
      <c r="X872" s="148"/>
      <c r="Y872" s="148"/>
      <c r="Z872" s="148"/>
      <c r="AA872" s="148"/>
      <c r="AB872" s="148"/>
      <c r="AC872" s="148"/>
      <c r="AD872" s="148"/>
      <c r="AE872" s="148"/>
      <c r="AF872" s="148"/>
      <c r="AG872" s="148"/>
      <c r="AH872" s="148"/>
      <c r="AI872" s="148"/>
      <c r="AJ872" s="148"/>
      <c r="AK872" s="148"/>
      <c r="AL872" s="148"/>
      <c r="AM872" s="148"/>
      <c r="AN872" s="148"/>
      <c r="AO872" s="148"/>
      <c r="AP872" s="148"/>
      <c r="AQ872" s="148"/>
      <c r="AR872" s="148"/>
      <c r="AS872" s="148"/>
      <c r="AT872" s="148"/>
      <c r="AU872" s="148"/>
      <c r="AV872" s="148"/>
      <c r="AW872" s="148"/>
      <c r="AX872" s="148"/>
      <c r="AY872" s="148"/>
      <c r="AZ872" s="148"/>
    </row>
    <row r="873" spans="20:52" x14ac:dyDescent="0.45">
      <c r="T873" s="148"/>
      <c r="U873" s="148"/>
      <c r="V873" s="148"/>
      <c r="W873" s="148"/>
      <c r="X873" s="148"/>
      <c r="Y873" s="148"/>
      <c r="Z873" s="148"/>
      <c r="AA873" s="148"/>
      <c r="AB873" s="148"/>
      <c r="AC873" s="148"/>
      <c r="AD873" s="148"/>
      <c r="AE873" s="148"/>
      <c r="AF873" s="148"/>
      <c r="AG873" s="148"/>
      <c r="AH873" s="148"/>
      <c r="AI873" s="148"/>
      <c r="AJ873" s="148"/>
      <c r="AK873" s="148"/>
      <c r="AL873" s="148"/>
      <c r="AM873" s="148"/>
      <c r="AN873" s="148"/>
      <c r="AO873" s="148"/>
      <c r="AP873" s="148"/>
      <c r="AQ873" s="148"/>
      <c r="AR873" s="148"/>
      <c r="AS873" s="148"/>
      <c r="AT873" s="148"/>
      <c r="AU873" s="148"/>
      <c r="AV873" s="148"/>
      <c r="AW873" s="148"/>
      <c r="AX873" s="148"/>
      <c r="AY873" s="148"/>
      <c r="AZ873" s="148"/>
    </row>
    <row r="874" spans="20:52" x14ac:dyDescent="0.45">
      <c r="T874" s="148"/>
      <c r="U874" s="148"/>
      <c r="V874" s="148"/>
      <c r="W874" s="148"/>
      <c r="X874" s="148"/>
      <c r="Y874" s="148"/>
      <c r="Z874" s="148"/>
      <c r="AA874" s="148"/>
      <c r="AB874" s="148"/>
      <c r="AC874" s="148"/>
      <c r="AD874" s="148"/>
      <c r="AE874" s="148"/>
      <c r="AF874" s="148"/>
      <c r="AG874" s="148"/>
      <c r="AH874" s="148"/>
      <c r="AI874" s="148"/>
      <c r="AJ874" s="148"/>
      <c r="AK874" s="148"/>
      <c r="AL874" s="148"/>
      <c r="AM874" s="148"/>
      <c r="AN874" s="148"/>
      <c r="AO874" s="148"/>
      <c r="AP874" s="148"/>
      <c r="AQ874" s="148"/>
      <c r="AR874" s="148"/>
      <c r="AS874" s="148"/>
      <c r="AT874" s="148"/>
      <c r="AU874" s="148"/>
      <c r="AV874" s="148"/>
      <c r="AW874" s="148"/>
      <c r="AX874" s="148"/>
      <c r="AY874" s="148"/>
      <c r="AZ874" s="148"/>
    </row>
    <row r="875" spans="20:52" x14ac:dyDescent="0.45">
      <c r="T875" s="148"/>
      <c r="U875" s="148"/>
      <c r="V875" s="148"/>
      <c r="W875" s="148"/>
      <c r="X875" s="148"/>
      <c r="Y875" s="148"/>
      <c r="Z875" s="148"/>
      <c r="AA875" s="148"/>
      <c r="AB875" s="148"/>
      <c r="AC875" s="148"/>
      <c r="AD875" s="148"/>
      <c r="AE875" s="148"/>
      <c r="AF875" s="148"/>
      <c r="AG875" s="148"/>
      <c r="AH875" s="148"/>
      <c r="AI875" s="148"/>
      <c r="AJ875" s="148"/>
      <c r="AK875" s="148"/>
      <c r="AL875" s="148"/>
      <c r="AM875" s="148"/>
      <c r="AN875" s="148"/>
      <c r="AO875" s="148"/>
      <c r="AP875" s="148"/>
      <c r="AQ875" s="148"/>
      <c r="AR875" s="148"/>
      <c r="AS875" s="148"/>
      <c r="AT875" s="148"/>
      <c r="AU875" s="148"/>
      <c r="AV875" s="148"/>
      <c r="AW875" s="148"/>
      <c r="AX875" s="148"/>
      <c r="AY875" s="148"/>
      <c r="AZ875" s="148"/>
    </row>
    <row r="876" spans="20:52" x14ac:dyDescent="0.45">
      <c r="T876" s="148"/>
      <c r="U876" s="148"/>
      <c r="V876" s="148"/>
      <c r="W876" s="148"/>
      <c r="X876" s="148"/>
      <c r="Y876" s="148"/>
      <c r="Z876" s="148"/>
      <c r="AA876" s="148"/>
      <c r="AB876" s="148"/>
      <c r="AC876" s="148"/>
      <c r="AD876" s="148"/>
      <c r="AE876" s="148"/>
      <c r="AF876" s="148"/>
      <c r="AG876" s="148"/>
      <c r="AH876" s="148"/>
      <c r="AI876" s="148"/>
      <c r="AJ876" s="148"/>
      <c r="AK876" s="148"/>
      <c r="AL876" s="148"/>
      <c r="AM876" s="148"/>
      <c r="AN876" s="148"/>
      <c r="AO876" s="148"/>
      <c r="AP876" s="148"/>
      <c r="AQ876" s="148"/>
      <c r="AR876" s="148"/>
      <c r="AS876" s="148"/>
      <c r="AT876" s="148"/>
      <c r="AU876" s="148"/>
      <c r="AV876" s="148"/>
      <c r="AW876" s="148"/>
      <c r="AX876" s="148"/>
      <c r="AY876" s="148"/>
      <c r="AZ876" s="148"/>
    </row>
    <row r="877" spans="20:52" x14ac:dyDescent="0.45">
      <c r="T877" s="148"/>
      <c r="U877" s="148"/>
      <c r="V877" s="148"/>
      <c r="W877" s="148"/>
      <c r="X877" s="148"/>
      <c r="Y877" s="148"/>
      <c r="Z877" s="148"/>
      <c r="AA877" s="148"/>
      <c r="AB877" s="148"/>
      <c r="AC877" s="148"/>
      <c r="AD877" s="148"/>
      <c r="AE877" s="148"/>
      <c r="AF877" s="148"/>
      <c r="AG877" s="148"/>
      <c r="AH877" s="148"/>
      <c r="AI877" s="148"/>
      <c r="AJ877" s="148"/>
      <c r="AK877" s="148"/>
      <c r="AL877" s="148"/>
      <c r="AM877" s="148"/>
      <c r="AN877" s="148"/>
      <c r="AO877" s="148"/>
      <c r="AP877" s="148"/>
      <c r="AQ877" s="148"/>
      <c r="AR877" s="148"/>
      <c r="AS877" s="148"/>
      <c r="AT877" s="148"/>
      <c r="AU877" s="148"/>
      <c r="AV877" s="148"/>
      <c r="AW877" s="148"/>
      <c r="AX877" s="148"/>
      <c r="AY877" s="148"/>
      <c r="AZ877" s="148"/>
    </row>
    <row r="878" spans="20:52" x14ac:dyDescent="0.45">
      <c r="T878" s="148"/>
      <c r="U878" s="148"/>
      <c r="V878" s="148"/>
      <c r="W878" s="148"/>
      <c r="X878" s="148"/>
      <c r="Y878" s="148"/>
      <c r="Z878" s="148"/>
      <c r="AA878" s="148"/>
      <c r="AB878" s="148"/>
      <c r="AC878" s="148"/>
      <c r="AD878" s="148"/>
      <c r="AE878" s="148"/>
      <c r="AF878" s="148"/>
      <c r="AG878" s="148"/>
      <c r="AH878" s="148"/>
      <c r="AI878" s="148"/>
      <c r="AJ878" s="148"/>
      <c r="AK878" s="148"/>
      <c r="AL878" s="148"/>
      <c r="AM878" s="148"/>
      <c r="AN878" s="148"/>
      <c r="AO878" s="148"/>
      <c r="AP878" s="148"/>
      <c r="AQ878" s="148"/>
      <c r="AR878" s="148"/>
      <c r="AS878" s="148"/>
      <c r="AT878" s="148"/>
      <c r="AU878" s="148"/>
      <c r="AV878" s="148"/>
      <c r="AW878" s="148"/>
      <c r="AX878" s="148"/>
      <c r="AY878" s="148"/>
      <c r="AZ878" s="148"/>
    </row>
    <row r="879" spans="20:52" x14ac:dyDescent="0.45">
      <c r="T879" s="148"/>
      <c r="U879" s="148"/>
      <c r="V879" s="148"/>
      <c r="W879" s="148"/>
      <c r="X879" s="148"/>
      <c r="Y879" s="148"/>
      <c r="Z879" s="148"/>
      <c r="AA879" s="148"/>
      <c r="AB879" s="148"/>
      <c r="AC879" s="148"/>
      <c r="AD879" s="148"/>
      <c r="AE879" s="148"/>
      <c r="AF879" s="148"/>
      <c r="AG879" s="148"/>
      <c r="AH879" s="148"/>
      <c r="AI879" s="148"/>
      <c r="AJ879" s="148"/>
      <c r="AK879" s="148"/>
      <c r="AL879" s="148"/>
      <c r="AM879" s="148"/>
      <c r="AN879" s="148"/>
      <c r="AO879" s="148"/>
      <c r="AP879" s="148"/>
      <c r="AQ879" s="148"/>
      <c r="AR879" s="148"/>
      <c r="AS879" s="148"/>
      <c r="AT879" s="148"/>
      <c r="AU879" s="148"/>
      <c r="AV879" s="148"/>
      <c r="AW879" s="148"/>
      <c r="AX879" s="148"/>
      <c r="AY879" s="148"/>
      <c r="AZ879" s="148"/>
    </row>
    <row r="880" spans="20:52" x14ac:dyDescent="0.45">
      <c r="T880" s="148"/>
      <c r="U880" s="148"/>
      <c r="V880" s="148"/>
      <c r="W880" s="148"/>
      <c r="X880" s="148"/>
      <c r="Y880" s="148"/>
      <c r="Z880" s="148"/>
      <c r="AA880" s="148"/>
      <c r="AB880" s="148"/>
      <c r="AC880" s="148"/>
      <c r="AD880" s="148"/>
      <c r="AE880" s="148"/>
      <c r="AF880" s="148"/>
      <c r="AG880" s="148"/>
      <c r="AH880" s="148"/>
      <c r="AI880" s="148"/>
      <c r="AJ880" s="148"/>
      <c r="AK880" s="148"/>
      <c r="AL880" s="148"/>
      <c r="AM880" s="148"/>
      <c r="AN880" s="148"/>
      <c r="AO880" s="148"/>
      <c r="AP880" s="148"/>
      <c r="AQ880" s="148"/>
      <c r="AR880" s="148"/>
      <c r="AS880" s="148"/>
      <c r="AT880" s="148"/>
      <c r="AU880" s="148"/>
      <c r="AV880" s="148"/>
      <c r="AW880" s="148"/>
      <c r="AX880" s="148"/>
      <c r="AY880" s="148"/>
      <c r="AZ880" s="148"/>
    </row>
    <row r="881" spans="20:52" x14ac:dyDescent="0.45">
      <c r="T881" s="148"/>
      <c r="U881" s="148"/>
      <c r="V881" s="148"/>
      <c r="W881" s="148"/>
      <c r="X881" s="148"/>
      <c r="Y881" s="148"/>
      <c r="Z881" s="148"/>
      <c r="AA881" s="148"/>
      <c r="AB881" s="148"/>
      <c r="AC881" s="148"/>
      <c r="AD881" s="148"/>
      <c r="AE881" s="148"/>
      <c r="AF881" s="148"/>
      <c r="AG881" s="148"/>
      <c r="AH881" s="148"/>
      <c r="AI881" s="148"/>
      <c r="AJ881" s="148"/>
      <c r="AK881" s="148"/>
      <c r="AL881" s="148"/>
      <c r="AM881" s="148"/>
      <c r="AN881" s="148"/>
      <c r="AO881" s="148"/>
      <c r="AP881" s="148"/>
      <c r="AQ881" s="148"/>
      <c r="AR881" s="148"/>
      <c r="AS881" s="148"/>
      <c r="AT881" s="148"/>
      <c r="AU881" s="148"/>
      <c r="AV881" s="148"/>
      <c r="AW881" s="148"/>
      <c r="AX881" s="148"/>
      <c r="AY881" s="148"/>
      <c r="AZ881" s="148"/>
    </row>
    <row r="882" spans="20:52" x14ac:dyDescent="0.45">
      <c r="T882" s="148"/>
      <c r="U882" s="148"/>
      <c r="V882" s="148"/>
      <c r="W882" s="148"/>
      <c r="X882" s="148"/>
      <c r="Y882" s="148"/>
      <c r="Z882" s="148"/>
      <c r="AA882" s="148"/>
      <c r="AB882" s="148"/>
      <c r="AC882" s="148"/>
      <c r="AD882" s="148"/>
      <c r="AE882" s="148"/>
      <c r="AF882" s="148"/>
      <c r="AG882" s="148"/>
      <c r="AH882" s="148"/>
      <c r="AI882" s="148"/>
      <c r="AJ882" s="148"/>
      <c r="AK882" s="148"/>
      <c r="AL882" s="148"/>
      <c r="AM882" s="148"/>
      <c r="AN882" s="148"/>
      <c r="AO882" s="148"/>
      <c r="AP882" s="148"/>
      <c r="AQ882" s="148"/>
      <c r="AR882" s="148"/>
      <c r="AS882" s="148"/>
      <c r="AT882" s="148"/>
      <c r="AU882" s="148"/>
      <c r="AV882" s="148"/>
      <c r="AW882" s="148"/>
      <c r="AX882" s="148"/>
      <c r="AY882" s="148"/>
      <c r="AZ882" s="148"/>
    </row>
    <row r="883" spans="20:52" x14ac:dyDescent="0.45">
      <c r="T883" s="148"/>
      <c r="U883" s="148"/>
      <c r="V883" s="148"/>
      <c r="W883" s="148"/>
      <c r="X883" s="148"/>
      <c r="Y883" s="148"/>
      <c r="Z883" s="148"/>
      <c r="AA883" s="148"/>
      <c r="AB883" s="148"/>
      <c r="AC883" s="148"/>
      <c r="AD883" s="148"/>
      <c r="AE883" s="148"/>
      <c r="AF883" s="148"/>
      <c r="AG883" s="148"/>
      <c r="AH883" s="148"/>
      <c r="AI883" s="148"/>
      <c r="AJ883" s="148"/>
      <c r="AK883" s="148"/>
      <c r="AL883" s="148"/>
      <c r="AM883" s="148"/>
      <c r="AN883" s="148"/>
      <c r="AO883" s="148"/>
      <c r="AP883" s="148"/>
      <c r="AQ883" s="148"/>
      <c r="AR883" s="148"/>
      <c r="AS883" s="148"/>
      <c r="AT883" s="148"/>
      <c r="AU883" s="148"/>
      <c r="AV883" s="148"/>
      <c r="AW883" s="148"/>
      <c r="AX883" s="148"/>
      <c r="AY883" s="148"/>
      <c r="AZ883" s="148"/>
    </row>
    <row r="884" spans="20:52" x14ac:dyDescent="0.45">
      <c r="T884" s="148"/>
      <c r="U884" s="148"/>
      <c r="V884" s="148"/>
      <c r="W884" s="148"/>
      <c r="X884" s="148"/>
      <c r="Y884" s="148"/>
      <c r="Z884" s="148"/>
      <c r="AA884" s="148"/>
      <c r="AB884" s="148"/>
      <c r="AC884" s="148"/>
      <c r="AD884" s="148"/>
      <c r="AE884" s="148"/>
      <c r="AF884" s="148"/>
      <c r="AG884" s="148"/>
      <c r="AH884" s="148"/>
      <c r="AI884" s="148"/>
      <c r="AJ884" s="148"/>
      <c r="AK884" s="148"/>
      <c r="AL884" s="148"/>
      <c r="AM884" s="148"/>
      <c r="AN884" s="148"/>
      <c r="AO884" s="148"/>
      <c r="AP884" s="148"/>
      <c r="AQ884" s="148"/>
      <c r="AR884" s="148"/>
      <c r="AS884" s="148"/>
      <c r="AT884" s="148"/>
      <c r="AU884" s="148"/>
      <c r="AV884" s="148"/>
      <c r="AW884" s="148"/>
      <c r="AX884" s="148"/>
      <c r="AY884" s="148"/>
      <c r="AZ884" s="148"/>
    </row>
    <row r="885" spans="20:52" x14ac:dyDescent="0.45">
      <c r="T885" s="148"/>
      <c r="U885" s="148"/>
      <c r="V885" s="148"/>
      <c r="W885" s="148"/>
      <c r="X885" s="148"/>
      <c r="Y885" s="148"/>
      <c r="Z885" s="148"/>
      <c r="AA885" s="148"/>
      <c r="AB885" s="148"/>
      <c r="AC885" s="148"/>
      <c r="AD885" s="148"/>
      <c r="AE885" s="148"/>
      <c r="AF885" s="148"/>
      <c r="AG885" s="148"/>
      <c r="AH885" s="148"/>
      <c r="AI885" s="148"/>
      <c r="AJ885" s="148"/>
      <c r="AK885" s="148"/>
      <c r="AL885" s="148"/>
      <c r="AM885" s="148"/>
      <c r="AN885" s="148"/>
      <c r="AO885" s="148"/>
      <c r="AP885" s="148"/>
      <c r="AQ885" s="148"/>
      <c r="AR885" s="148"/>
      <c r="AS885" s="148"/>
      <c r="AT885" s="148"/>
      <c r="AU885" s="148"/>
      <c r="AV885" s="148"/>
      <c r="AW885" s="148"/>
      <c r="AX885" s="148"/>
      <c r="AY885" s="148"/>
      <c r="AZ885" s="148"/>
    </row>
    <row r="886" spans="20:52" x14ac:dyDescent="0.45">
      <c r="T886" s="148"/>
      <c r="U886" s="148"/>
      <c r="V886" s="148"/>
      <c r="W886" s="148"/>
      <c r="X886" s="148"/>
      <c r="Y886" s="148"/>
      <c r="Z886" s="148"/>
      <c r="AA886" s="148"/>
      <c r="AB886" s="148"/>
      <c r="AC886" s="148"/>
      <c r="AD886" s="148"/>
      <c r="AE886" s="148"/>
      <c r="AF886" s="148"/>
      <c r="AG886" s="148"/>
      <c r="AH886" s="148"/>
      <c r="AI886" s="148"/>
      <c r="AJ886" s="148"/>
      <c r="AK886" s="148"/>
      <c r="AL886" s="148"/>
      <c r="AM886" s="148"/>
      <c r="AN886" s="148"/>
      <c r="AO886" s="148"/>
      <c r="AP886" s="148"/>
      <c r="AQ886" s="148"/>
      <c r="AR886" s="148"/>
      <c r="AS886" s="148"/>
      <c r="AT886" s="148"/>
      <c r="AU886" s="148"/>
      <c r="AV886" s="148"/>
      <c r="AW886" s="148"/>
      <c r="AX886" s="148"/>
      <c r="AY886" s="148"/>
      <c r="AZ886" s="148"/>
    </row>
    <row r="887" spans="20:52" x14ac:dyDescent="0.45">
      <c r="T887" s="148"/>
      <c r="U887" s="148"/>
      <c r="V887" s="148"/>
      <c r="W887" s="148"/>
      <c r="X887" s="148"/>
      <c r="Y887" s="148"/>
      <c r="Z887" s="148"/>
      <c r="AA887" s="148"/>
      <c r="AB887" s="148"/>
      <c r="AC887" s="148"/>
      <c r="AD887" s="148"/>
      <c r="AE887" s="148"/>
      <c r="AF887" s="148"/>
      <c r="AG887" s="148"/>
      <c r="AH887" s="148"/>
      <c r="AI887" s="148"/>
      <c r="AJ887" s="148"/>
      <c r="AK887" s="148"/>
      <c r="AL887" s="148"/>
      <c r="AM887" s="148"/>
      <c r="AN887" s="148"/>
      <c r="AO887" s="148"/>
      <c r="AP887" s="148"/>
      <c r="AQ887" s="148"/>
      <c r="AR887" s="148"/>
      <c r="AS887" s="148"/>
      <c r="AT887" s="148"/>
      <c r="AU887" s="148"/>
      <c r="AV887" s="148"/>
      <c r="AW887" s="148"/>
      <c r="AX887" s="148"/>
      <c r="AY887" s="148"/>
      <c r="AZ887" s="148"/>
    </row>
    <row r="888" spans="20:52" x14ac:dyDescent="0.45">
      <c r="T888" s="148"/>
      <c r="U888" s="148"/>
      <c r="V888" s="148"/>
      <c r="W888" s="148"/>
      <c r="X888" s="148"/>
      <c r="Y888" s="148"/>
      <c r="Z888" s="148"/>
      <c r="AA888" s="148"/>
      <c r="AB888" s="148"/>
      <c r="AC888" s="148"/>
      <c r="AD888" s="148"/>
      <c r="AE888" s="148"/>
      <c r="AF888" s="148"/>
      <c r="AG888" s="148"/>
      <c r="AH888" s="148"/>
      <c r="AI888" s="148"/>
      <c r="AJ888" s="148"/>
      <c r="AK888" s="148"/>
      <c r="AL888" s="148"/>
      <c r="AM888" s="148"/>
      <c r="AN888" s="148"/>
      <c r="AO888" s="148"/>
      <c r="AP888" s="148"/>
      <c r="AQ888" s="148"/>
      <c r="AR888" s="148"/>
      <c r="AS888" s="148"/>
      <c r="AT888" s="148"/>
      <c r="AU888" s="148"/>
      <c r="AV888" s="148"/>
      <c r="AW888" s="148"/>
      <c r="AX888" s="148"/>
      <c r="AY888" s="148"/>
      <c r="AZ888" s="148"/>
    </row>
    <row r="889" spans="20:52" x14ac:dyDescent="0.45">
      <c r="T889" s="148"/>
      <c r="U889" s="148"/>
      <c r="V889" s="148"/>
      <c r="W889" s="148"/>
      <c r="X889" s="148"/>
      <c r="Y889" s="148"/>
      <c r="Z889" s="148"/>
      <c r="AA889" s="148"/>
      <c r="AB889" s="148"/>
      <c r="AC889" s="148"/>
      <c r="AD889" s="148"/>
      <c r="AE889" s="148"/>
      <c r="AF889" s="148"/>
      <c r="AG889" s="148"/>
      <c r="AH889" s="148"/>
      <c r="AI889" s="148"/>
      <c r="AJ889" s="148"/>
      <c r="AK889" s="148"/>
      <c r="AL889" s="148"/>
      <c r="AM889" s="148"/>
      <c r="AN889" s="148"/>
      <c r="AO889" s="148"/>
      <c r="AP889" s="148"/>
      <c r="AQ889" s="148"/>
      <c r="AR889" s="148"/>
      <c r="AS889" s="148"/>
      <c r="AT889" s="148"/>
      <c r="AU889" s="148"/>
      <c r="AV889" s="148"/>
      <c r="AW889" s="148"/>
      <c r="AX889" s="148"/>
      <c r="AY889" s="148"/>
      <c r="AZ889" s="148"/>
    </row>
    <row r="890" spans="20:52" x14ac:dyDescent="0.45">
      <c r="T890" s="148"/>
      <c r="U890" s="148"/>
      <c r="V890" s="148"/>
      <c r="W890" s="148"/>
      <c r="X890" s="148"/>
      <c r="Y890" s="148"/>
      <c r="Z890" s="148"/>
      <c r="AA890" s="148"/>
      <c r="AB890" s="148"/>
      <c r="AC890" s="148"/>
      <c r="AD890" s="148"/>
      <c r="AE890" s="148"/>
      <c r="AF890" s="148"/>
      <c r="AG890" s="148"/>
      <c r="AH890" s="148"/>
      <c r="AI890" s="148"/>
      <c r="AJ890" s="148"/>
      <c r="AK890" s="148"/>
      <c r="AL890" s="148"/>
      <c r="AM890" s="148"/>
      <c r="AN890" s="148"/>
      <c r="AO890" s="148"/>
      <c r="AP890" s="148"/>
      <c r="AQ890" s="148"/>
      <c r="AR890" s="148"/>
      <c r="AS890" s="148"/>
      <c r="AT890" s="148"/>
      <c r="AU890" s="148"/>
      <c r="AV890" s="148"/>
      <c r="AW890" s="148"/>
      <c r="AX890" s="148"/>
      <c r="AY890" s="148"/>
      <c r="AZ890" s="148"/>
    </row>
    <row r="891" spans="20:52" x14ac:dyDescent="0.45">
      <c r="T891" s="148"/>
      <c r="U891" s="148"/>
      <c r="V891" s="148"/>
      <c r="W891" s="148"/>
      <c r="X891" s="148"/>
      <c r="Y891" s="148"/>
      <c r="Z891" s="148"/>
      <c r="AA891" s="148"/>
      <c r="AB891" s="148"/>
      <c r="AC891" s="148"/>
      <c r="AD891" s="148"/>
      <c r="AE891" s="148"/>
      <c r="AF891" s="148"/>
      <c r="AG891" s="148"/>
      <c r="AH891" s="148"/>
      <c r="AI891" s="148"/>
      <c r="AJ891" s="148"/>
      <c r="AK891" s="148"/>
      <c r="AL891" s="148"/>
      <c r="AM891" s="148"/>
      <c r="AN891" s="148"/>
      <c r="AO891" s="148"/>
      <c r="AP891" s="148"/>
      <c r="AQ891" s="148"/>
      <c r="AR891" s="148"/>
      <c r="AS891" s="148"/>
      <c r="AT891" s="148"/>
      <c r="AU891" s="148"/>
      <c r="AV891" s="148"/>
      <c r="AW891" s="148"/>
      <c r="AX891" s="148"/>
      <c r="AY891" s="148"/>
      <c r="AZ891" s="148"/>
    </row>
    <row r="892" spans="20:52" x14ac:dyDescent="0.45">
      <c r="T892" s="148"/>
      <c r="U892" s="148"/>
      <c r="V892" s="148"/>
      <c r="W892" s="148"/>
      <c r="X892" s="148"/>
      <c r="Y892" s="148"/>
      <c r="Z892" s="148"/>
      <c r="AA892" s="148"/>
      <c r="AB892" s="148"/>
      <c r="AC892" s="148"/>
      <c r="AD892" s="148"/>
      <c r="AE892" s="148"/>
      <c r="AF892" s="148"/>
      <c r="AG892" s="148"/>
      <c r="AH892" s="148"/>
      <c r="AI892" s="148"/>
      <c r="AJ892" s="148"/>
      <c r="AK892" s="148"/>
      <c r="AL892" s="148"/>
      <c r="AM892" s="148"/>
      <c r="AN892" s="148"/>
      <c r="AO892" s="148"/>
      <c r="AP892" s="148"/>
      <c r="AQ892" s="148"/>
      <c r="AR892" s="148"/>
      <c r="AS892" s="148"/>
      <c r="AT892" s="148"/>
      <c r="AU892" s="148"/>
      <c r="AV892" s="148"/>
      <c r="AW892" s="148"/>
      <c r="AX892" s="148"/>
      <c r="AY892" s="148"/>
      <c r="AZ892" s="148"/>
    </row>
    <row r="893" spans="20:52" x14ac:dyDescent="0.45">
      <c r="T893" s="148"/>
      <c r="U893" s="148"/>
      <c r="V893" s="148"/>
      <c r="W893" s="148"/>
      <c r="X893" s="148"/>
      <c r="Y893" s="148"/>
      <c r="Z893" s="148"/>
      <c r="AA893" s="148"/>
      <c r="AB893" s="148"/>
      <c r="AC893" s="148"/>
      <c r="AD893" s="148"/>
      <c r="AE893" s="148"/>
      <c r="AF893" s="148"/>
      <c r="AG893" s="148"/>
      <c r="AH893" s="148"/>
      <c r="AI893" s="148"/>
      <c r="AJ893" s="148"/>
      <c r="AK893" s="148"/>
      <c r="AL893" s="148"/>
      <c r="AM893" s="148"/>
      <c r="AN893" s="148"/>
      <c r="AO893" s="148"/>
      <c r="AP893" s="148"/>
      <c r="AQ893" s="148"/>
      <c r="AR893" s="148"/>
      <c r="AS893" s="148"/>
      <c r="AT893" s="148"/>
      <c r="AU893" s="148"/>
      <c r="AV893" s="148"/>
      <c r="AW893" s="148"/>
      <c r="AX893" s="148"/>
      <c r="AY893" s="148"/>
      <c r="AZ893" s="148"/>
    </row>
    <row r="894" spans="20:52" x14ac:dyDescent="0.45">
      <c r="T894" s="148"/>
      <c r="U894" s="148"/>
      <c r="V894" s="148"/>
      <c r="W894" s="148"/>
      <c r="X894" s="148"/>
      <c r="Y894" s="148"/>
      <c r="Z894" s="148"/>
      <c r="AA894" s="148"/>
      <c r="AB894" s="148"/>
      <c r="AC894" s="148"/>
      <c r="AD894" s="148"/>
      <c r="AE894" s="148"/>
      <c r="AF894" s="148"/>
      <c r="AG894" s="148"/>
      <c r="AH894" s="148"/>
      <c r="AI894" s="148"/>
      <c r="AJ894" s="148"/>
      <c r="AK894" s="148"/>
      <c r="AL894" s="148"/>
      <c r="AM894" s="148"/>
      <c r="AN894" s="148"/>
      <c r="AO894" s="148"/>
      <c r="AP894" s="148"/>
      <c r="AQ894" s="148"/>
      <c r="AR894" s="148"/>
      <c r="AS894" s="148"/>
      <c r="AT894" s="148"/>
      <c r="AU894" s="148"/>
      <c r="AV894" s="148"/>
      <c r="AW894" s="148"/>
      <c r="AX894" s="148"/>
      <c r="AY894" s="148"/>
      <c r="AZ894" s="148"/>
    </row>
    <row r="895" spans="20:52" x14ac:dyDescent="0.45">
      <c r="T895" s="148"/>
      <c r="U895" s="148"/>
      <c r="V895" s="148"/>
      <c r="W895" s="148"/>
      <c r="X895" s="148"/>
      <c r="Y895" s="148"/>
      <c r="Z895" s="148"/>
      <c r="AA895" s="148"/>
      <c r="AB895" s="148"/>
      <c r="AC895" s="148"/>
      <c r="AD895" s="148"/>
      <c r="AE895" s="148"/>
      <c r="AF895" s="148"/>
      <c r="AG895" s="148"/>
      <c r="AH895" s="148"/>
      <c r="AI895" s="148"/>
      <c r="AJ895" s="148"/>
      <c r="AK895" s="148"/>
      <c r="AL895" s="148"/>
      <c r="AM895" s="148"/>
      <c r="AN895" s="148"/>
      <c r="AO895" s="148"/>
      <c r="AP895" s="148"/>
      <c r="AQ895" s="148"/>
      <c r="AR895" s="148"/>
      <c r="AS895" s="148"/>
      <c r="AT895" s="148"/>
      <c r="AU895" s="148"/>
      <c r="AV895" s="148"/>
      <c r="AW895" s="148"/>
      <c r="AX895" s="148"/>
      <c r="AY895" s="148"/>
      <c r="AZ895" s="148"/>
    </row>
    <row r="896" spans="20:52" x14ac:dyDescent="0.45">
      <c r="T896" s="148"/>
      <c r="U896" s="148"/>
      <c r="V896" s="148"/>
      <c r="W896" s="148"/>
      <c r="X896" s="148"/>
      <c r="Y896" s="148"/>
      <c r="Z896" s="148"/>
      <c r="AA896" s="148"/>
      <c r="AB896" s="148"/>
      <c r="AC896" s="148"/>
      <c r="AD896" s="148"/>
      <c r="AE896" s="148"/>
      <c r="AF896" s="148"/>
      <c r="AG896" s="148"/>
      <c r="AH896" s="148"/>
      <c r="AI896" s="148"/>
      <c r="AJ896" s="148"/>
      <c r="AK896" s="148"/>
      <c r="AL896" s="148"/>
      <c r="AM896" s="148"/>
      <c r="AN896" s="148"/>
      <c r="AO896" s="148"/>
      <c r="AP896" s="148"/>
      <c r="AQ896" s="148"/>
      <c r="AR896" s="148"/>
      <c r="AS896" s="148"/>
      <c r="AT896" s="148"/>
      <c r="AU896" s="148"/>
      <c r="AV896" s="148"/>
      <c r="AW896" s="148"/>
      <c r="AX896" s="148"/>
      <c r="AY896" s="148"/>
      <c r="AZ896" s="148"/>
    </row>
    <row r="897" spans="20:52" x14ac:dyDescent="0.45">
      <c r="T897" s="148"/>
      <c r="U897" s="148"/>
      <c r="V897" s="148"/>
      <c r="W897" s="148"/>
      <c r="X897" s="148"/>
      <c r="Y897" s="148"/>
      <c r="Z897" s="148"/>
      <c r="AA897" s="148"/>
      <c r="AB897" s="148"/>
      <c r="AC897" s="148"/>
      <c r="AD897" s="148"/>
      <c r="AE897" s="148"/>
      <c r="AF897" s="148"/>
      <c r="AG897" s="148"/>
      <c r="AH897" s="148"/>
      <c r="AI897" s="148"/>
      <c r="AJ897" s="148"/>
      <c r="AK897" s="148"/>
      <c r="AL897" s="148"/>
      <c r="AM897" s="148"/>
      <c r="AN897" s="148"/>
      <c r="AO897" s="148"/>
      <c r="AP897" s="148"/>
      <c r="AQ897" s="148"/>
      <c r="AR897" s="148"/>
      <c r="AS897" s="148"/>
      <c r="AT897" s="148"/>
      <c r="AU897" s="148"/>
      <c r="AV897" s="148"/>
      <c r="AW897" s="148"/>
      <c r="AX897" s="148"/>
      <c r="AY897" s="148"/>
      <c r="AZ897" s="148"/>
    </row>
    <row r="898" spans="20:52" x14ac:dyDescent="0.45">
      <c r="T898" s="148"/>
      <c r="U898" s="148"/>
      <c r="V898" s="148"/>
      <c r="W898" s="148"/>
      <c r="X898" s="148"/>
      <c r="Y898" s="148"/>
      <c r="Z898" s="148"/>
      <c r="AA898" s="148"/>
      <c r="AB898" s="148"/>
      <c r="AC898" s="148"/>
      <c r="AD898" s="148"/>
      <c r="AE898" s="148"/>
      <c r="AF898" s="148"/>
      <c r="AG898" s="148"/>
      <c r="AH898" s="148"/>
      <c r="AI898" s="148"/>
      <c r="AJ898" s="148"/>
      <c r="AK898" s="148"/>
      <c r="AL898" s="148"/>
      <c r="AM898" s="148"/>
      <c r="AN898" s="148"/>
      <c r="AO898" s="148"/>
      <c r="AP898" s="148"/>
      <c r="AQ898" s="148"/>
      <c r="AR898" s="148"/>
      <c r="AS898" s="148"/>
      <c r="AT898" s="148"/>
      <c r="AU898" s="148"/>
      <c r="AV898" s="148"/>
      <c r="AW898" s="148"/>
      <c r="AX898" s="148"/>
      <c r="AY898" s="148"/>
      <c r="AZ898" s="148"/>
    </row>
    <row r="899" spans="20:52" x14ac:dyDescent="0.45">
      <c r="T899" s="148"/>
      <c r="U899" s="148"/>
      <c r="V899" s="148"/>
      <c r="W899" s="148"/>
      <c r="X899" s="148"/>
      <c r="Y899" s="148"/>
      <c r="Z899" s="148"/>
      <c r="AA899" s="148"/>
      <c r="AB899" s="148"/>
      <c r="AC899" s="148"/>
      <c r="AD899" s="148"/>
      <c r="AE899" s="148"/>
      <c r="AF899" s="148"/>
      <c r="AG899" s="148"/>
      <c r="AH899" s="148"/>
      <c r="AI899" s="148"/>
      <c r="AJ899" s="148"/>
      <c r="AK899" s="148"/>
      <c r="AL899" s="148"/>
      <c r="AM899" s="148"/>
      <c r="AN899" s="148"/>
      <c r="AO899" s="148"/>
      <c r="AP899" s="148"/>
      <c r="AQ899" s="148"/>
      <c r="AR899" s="148"/>
      <c r="AS899" s="148"/>
      <c r="AT899" s="148"/>
      <c r="AU899" s="148"/>
      <c r="AV899" s="148"/>
      <c r="AW899" s="148"/>
      <c r="AX899" s="148"/>
      <c r="AY899" s="148"/>
      <c r="AZ899" s="148"/>
    </row>
    <row r="900" spans="20:52" x14ac:dyDescent="0.45">
      <c r="T900" s="148"/>
      <c r="U900" s="148"/>
      <c r="V900" s="148"/>
      <c r="W900" s="148"/>
      <c r="X900" s="148"/>
      <c r="Y900" s="148"/>
      <c r="Z900" s="148"/>
      <c r="AA900" s="148"/>
      <c r="AB900" s="148"/>
      <c r="AC900" s="148"/>
      <c r="AD900" s="148"/>
      <c r="AE900" s="148"/>
      <c r="AF900" s="148"/>
      <c r="AG900" s="148"/>
      <c r="AH900" s="148"/>
      <c r="AI900" s="148"/>
      <c r="AJ900" s="148"/>
      <c r="AK900" s="148"/>
      <c r="AL900" s="148"/>
      <c r="AM900" s="148"/>
      <c r="AN900" s="148"/>
      <c r="AO900" s="148"/>
      <c r="AP900" s="148"/>
      <c r="AQ900" s="148"/>
      <c r="AR900" s="148"/>
      <c r="AS900" s="148"/>
      <c r="AT900" s="148"/>
      <c r="AU900" s="148"/>
      <c r="AV900" s="148"/>
      <c r="AW900" s="148"/>
      <c r="AX900" s="148"/>
      <c r="AY900" s="148"/>
      <c r="AZ900" s="148"/>
    </row>
    <row r="901" spans="20:52" x14ac:dyDescent="0.45">
      <c r="T901" s="148"/>
      <c r="U901" s="148"/>
      <c r="V901" s="148"/>
      <c r="W901" s="148"/>
      <c r="X901" s="148"/>
      <c r="Y901" s="148"/>
      <c r="Z901" s="148"/>
      <c r="AA901" s="148"/>
      <c r="AB901" s="148"/>
      <c r="AC901" s="148"/>
      <c r="AD901" s="148"/>
      <c r="AE901" s="148"/>
      <c r="AF901" s="148"/>
      <c r="AG901" s="148"/>
      <c r="AH901" s="148"/>
      <c r="AI901" s="148"/>
      <c r="AJ901" s="148"/>
      <c r="AK901" s="148"/>
      <c r="AL901" s="148"/>
      <c r="AM901" s="148"/>
      <c r="AN901" s="148"/>
      <c r="AO901" s="148"/>
      <c r="AP901" s="148"/>
      <c r="AQ901" s="148"/>
      <c r="AR901" s="148"/>
      <c r="AS901" s="148"/>
      <c r="AT901" s="148"/>
      <c r="AU901" s="148"/>
      <c r="AV901" s="148"/>
      <c r="AW901" s="148"/>
      <c r="AX901" s="148"/>
      <c r="AY901" s="148"/>
      <c r="AZ901" s="148"/>
    </row>
    <row r="902" spans="20:52" x14ac:dyDescent="0.45">
      <c r="T902" s="148"/>
      <c r="U902" s="148"/>
      <c r="V902" s="148"/>
      <c r="W902" s="148"/>
      <c r="X902" s="148"/>
      <c r="Y902" s="148"/>
      <c r="Z902" s="148"/>
      <c r="AA902" s="148"/>
      <c r="AB902" s="148"/>
      <c r="AC902" s="148"/>
      <c r="AD902" s="148"/>
      <c r="AE902" s="148"/>
      <c r="AF902" s="148"/>
      <c r="AG902" s="148"/>
      <c r="AH902" s="148"/>
      <c r="AI902" s="148"/>
      <c r="AJ902" s="148"/>
      <c r="AK902" s="148"/>
      <c r="AL902" s="148"/>
      <c r="AM902" s="148"/>
      <c r="AN902" s="148"/>
      <c r="AO902" s="148"/>
      <c r="AP902" s="148"/>
      <c r="AQ902" s="148"/>
      <c r="AR902" s="148"/>
      <c r="AS902" s="148"/>
      <c r="AT902" s="148"/>
      <c r="AU902" s="148"/>
      <c r="AV902" s="148"/>
      <c r="AW902" s="148"/>
      <c r="AX902" s="148"/>
      <c r="AY902" s="148"/>
      <c r="AZ902" s="148"/>
    </row>
    <row r="903" spans="20:52" x14ac:dyDescent="0.45">
      <c r="T903" s="148"/>
      <c r="U903" s="148"/>
      <c r="V903" s="148"/>
      <c r="W903" s="148"/>
      <c r="X903" s="148"/>
      <c r="Y903" s="148"/>
      <c r="Z903" s="148"/>
      <c r="AA903" s="148"/>
      <c r="AB903" s="148"/>
      <c r="AC903" s="148"/>
      <c r="AD903" s="148"/>
      <c r="AE903" s="148"/>
      <c r="AF903" s="148"/>
      <c r="AG903" s="148"/>
      <c r="AH903" s="148"/>
      <c r="AI903" s="148"/>
      <c r="AJ903" s="148"/>
      <c r="AK903" s="148"/>
      <c r="AL903" s="148"/>
      <c r="AM903" s="148"/>
      <c r="AN903" s="148"/>
      <c r="AO903" s="148"/>
      <c r="AP903" s="148"/>
      <c r="AQ903" s="148"/>
      <c r="AR903" s="148"/>
      <c r="AS903" s="148"/>
      <c r="AT903" s="148"/>
      <c r="AU903" s="148"/>
      <c r="AV903" s="148"/>
      <c r="AW903" s="148"/>
      <c r="AX903" s="148"/>
      <c r="AY903" s="148"/>
      <c r="AZ903" s="148"/>
    </row>
    <row r="904" spans="20:52" x14ac:dyDescent="0.45">
      <c r="T904" s="148"/>
      <c r="U904" s="148"/>
      <c r="V904" s="148"/>
      <c r="W904" s="148"/>
      <c r="X904" s="148"/>
      <c r="Y904" s="148"/>
      <c r="Z904" s="148"/>
      <c r="AA904" s="148"/>
      <c r="AB904" s="148"/>
      <c r="AC904" s="148"/>
      <c r="AD904" s="148"/>
      <c r="AE904" s="148"/>
      <c r="AF904" s="148"/>
      <c r="AG904" s="148"/>
      <c r="AH904" s="148"/>
      <c r="AI904" s="148"/>
      <c r="AJ904" s="148"/>
      <c r="AK904" s="148"/>
      <c r="AL904" s="148"/>
      <c r="AM904" s="148"/>
      <c r="AN904" s="148"/>
      <c r="AO904" s="148"/>
      <c r="AP904" s="148"/>
      <c r="AQ904" s="148"/>
      <c r="AR904" s="148"/>
      <c r="AS904" s="148"/>
      <c r="AT904" s="148"/>
      <c r="AU904" s="148"/>
      <c r="AV904" s="148"/>
      <c r="AW904" s="148"/>
      <c r="AX904" s="148"/>
      <c r="AY904" s="148"/>
      <c r="AZ904" s="148"/>
    </row>
    <row r="905" spans="20:52" x14ac:dyDescent="0.45">
      <c r="T905" s="148"/>
      <c r="U905" s="148"/>
      <c r="V905" s="148"/>
      <c r="W905" s="148"/>
      <c r="X905" s="148"/>
      <c r="Y905" s="148"/>
      <c r="Z905" s="148"/>
      <c r="AA905" s="148"/>
      <c r="AB905" s="148"/>
      <c r="AC905" s="148"/>
      <c r="AD905" s="148"/>
      <c r="AE905" s="148"/>
      <c r="AF905" s="148"/>
      <c r="AG905" s="148"/>
      <c r="AH905" s="148"/>
      <c r="AI905" s="148"/>
      <c r="AJ905" s="148"/>
      <c r="AK905" s="148"/>
      <c r="AL905" s="148"/>
      <c r="AM905" s="148"/>
      <c r="AN905" s="148"/>
      <c r="AO905" s="148"/>
      <c r="AP905" s="148"/>
      <c r="AQ905" s="148"/>
      <c r="AR905" s="148"/>
      <c r="AS905" s="148"/>
      <c r="AT905" s="148"/>
      <c r="AU905" s="148"/>
      <c r="AV905" s="148"/>
      <c r="AW905" s="148"/>
      <c r="AX905" s="148"/>
      <c r="AY905" s="148"/>
      <c r="AZ905" s="148"/>
    </row>
    <row r="906" spans="20:52" x14ac:dyDescent="0.45">
      <c r="T906" s="148"/>
      <c r="U906" s="148"/>
      <c r="V906" s="148"/>
      <c r="W906" s="148"/>
      <c r="X906" s="148"/>
      <c r="Y906" s="148"/>
      <c r="Z906" s="148"/>
      <c r="AA906" s="148"/>
      <c r="AB906" s="148"/>
      <c r="AC906" s="148"/>
      <c r="AD906" s="148"/>
      <c r="AE906" s="148"/>
      <c r="AF906" s="148"/>
      <c r="AG906" s="148"/>
      <c r="AH906" s="148"/>
      <c r="AI906" s="148"/>
      <c r="AJ906" s="148"/>
      <c r="AK906" s="148"/>
      <c r="AL906" s="148"/>
      <c r="AM906" s="148"/>
      <c r="AN906" s="148"/>
      <c r="AO906" s="148"/>
      <c r="AP906" s="148"/>
      <c r="AQ906" s="148"/>
      <c r="AR906" s="148"/>
      <c r="AS906" s="148"/>
      <c r="AT906" s="148"/>
      <c r="AU906" s="148"/>
      <c r="AV906" s="148"/>
      <c r="AW906" s="148"/>
      <c r="AX906" s="148"/>
      <c r="AY906" s="148"/>
      <c r="AZ906" s="148"/>
    </row>
    <row r="907" spans="20:52" x14ac:dyDescent="0.45">
      <c r="T907" s="148"/>
      <c r="U907" s="148"/>
      <c r="V907" s="148"/>
      <c r="W907" s="148"/>
      <c r="X907" s="148"/>
      <c r="Y907" s="148"/>
      <c r="Z907" s="148"/>
      <c r="AA907" s="148"/>
      <c r="AB907" s="148"/>
      <c r="AC907" s="148"/>
      <c r="AD907" s="148"/>
      <c r="AE907" s="148"/>
      <c r="AF907" s="148"/>
      <c r="AG907" s="148"/>
      <c r="AH907" s="148"/>
      <c r="AI907" s="148"/>
      <c r="AJ907" s="148"/>
      <c r="AK907" s="148"/>
      <c r="AL907" s="148"/>
      <c r="AM907" s="148"/>
      <c r="AN907" s="148"/>
      <c r="AO907" s="148"/>
      <c r="AP907" s="148"/>
      <c r="AQ907" s="148"/>
      <c r="AR907" s="148"/>
      <c r="AS907" s="148"/>
      <c r="AT907" s="148"/>
      <c r="AU907" s="148"/>
      <c r="AV907" s="148"/>
      <c r="AW907" s="148"/>
      <c r="AX907" s="148"/>
      <c r="AY907" s="148"/>
      <c r="AZ907" s="148"/>
    </row>
    <row r="908" spans="20:52" x14ac:dyDescent="0.45">
      <c r="T908" s="148"/>
      <c r="U908" s="148"/>
      <c r="V908" s="148"/>
      <c r="W908" s="148"/>
      <c r="X908" s="148"/>
      <c r="Y908" s="148"/>
      <c r="Z908" s="148"/>
      <c r="AA908" s="148"/>
      <c r="AB908" s="148"/>
      <c r="AC908" s="148"/>
      <c r="AD908" s="148"/>
      <c r="AE908" s="148"/>
      <c r="AF908" s="148"/>
      <c r="AG908" s="148"/>
      <c r="AH908" s="148"/>
      <c r="AI908" s="148"/>
      <c r="AJ908" s="148"/>
      <c r="AK908" s="148"/>
      <c r="AL908" s="148"/>
      <c r="AM908" s="148"/>
      <c r="AN908" s="148"/>
      <c r="AO908" s="148"/>
      <c r="AP908" s="148"/>
      <c r="AQ908" s="148"/>
      <c r="AR908" s="148"/>
      <c r="AS908" s="148"/>
      <c r="AT908" s="148"/>
      <c r="AU908" s="148"/>
      <c r="AV908" s="148"/>
      <c r="AW908" s="148"/>
      <c r="AX908" s="148"/>
      <c r="AY908" s="148"/>
      <c r="AZ908" s="148"/>
    </row>
    <row r="909" spans="20:52" x14ac:dyDescent="0.45">
      <c r="T909" s="148"/>
      <c r="U909" s="148"/>
      <c r="V909" s="148"/>
      <c r="W909" s="148"/>
      <c r="X909" s="148"/>
      <c r="Y909" s="148"/>
      <c r="Z909" s="148"/>
      <c r="AA909" s="148"/>
      <c r="AB909" s="148"/>
      <c r="AC909" s="148"/>
      <c r="AD909" s="148"/>
      <c r="AE909" s="148"/>
      <c r="AF909" s="148"/>
      <c r="AG909" s="148"/>
      <c r="AH909" s="148"/>
      <c r="AI909" s="148"/>
      <c r="AJ909" s="148"/>
      <c r="AK909" s="148"/>
      <c r="AL909" s="148"/>
      <c r="AM909" s="148"/>
      <c r="AN909" s="148"/>
      <c r="AO909" s="148"/>
      <c r="AP909" s="148"/>
      <c r="AQ909" s="148"/>
      <c r="AR909" s="148"/>
      <c r="AS909" s="148"/>
      <c r="AT909" s="148"/>
      <c r="AU909" s="148"/>
      <c r="AV909" s="148"/>
      <c r="AW909" s="148"/>
      <c r="AX909" s="148"/>
      <c r="AY909" s="148"/>
      <c r="AZ909" s="148"/>
    </row>
    <row r="910" spans="20:52" x14ac:dyDescent="0.45">
      <c r="T910" s="148"/>
      <c r="U910" s="148"/>
      <c r="V910" s="148"/>
      <c r="W910" s="148"/>
      <c r="X910" s="148"/>
      <c r="Y910" s="148"/>
      <c r="Z910" s="148"/>
      <c r="AA910" s="148"/>
      <c r="AB910" s="148"/>
      <c r="AC910" s="148"/>
      <c r="AD910" s="148"/>
      <c r="AE910" s="148"/>
      <c r="AF910" s="148"/>
      <c r="AG910" s="148"/>
      <c r="AH910" s="148"/>
      <c r="AI910" s="148"/>
      <c r="AJ910" s="148"/>
      <c r="AK910" s="148"/>
      <c r="AL910" s="148"/>
      <c r="AM910" s="148"/>
      <c r="AN910" s="148"/>
      <c r="AO910" s="148"/>
      <c r="AP910" s="148"/>
      <c r="AQ910" s="148"/>
      <c r="AR910" s="148"/>
      <c r="AS910" s="148"/>
      <c r="AT910" s="148"/>
      <c r="AU910" s="148"/>
      <c r="AV910" s="148"/>
      <c r="AW910" s="148"/>
      <c r="AX910" s="148"/>
      <c r="AY910" s="148"/>
      <c r="AZ910" s="148"/>
    </row>
    <row r="911" spans="20:52" x14ac:dyDescent="0.45">
      <c r="T911" s="148"/>
      <c r="U911" s="148"/>
      <c r="V911" s="148"/>
      <c r="W911" s="148"/>
      <c r="X911" s="148"/>
      <c r="Y911" s="148"/>
      <c r="Z911" s="148"/>
      <c r="AA911" s="148"/>
      <c r="AB911" s="148"/>
      <c r="AC911" s="148"/>
      <c r="AD911" s="148"/>
      <c r="AE911" s="148"/>
      <c r="AF911" s="148"/>
      <c r="AG911" s="148"/>
      <c r="AH911" s="148"/>
      <c r="AI911" s="148"/>
      <c r="AJ911" s="148"/>
      <c r="AK911" s="148"/>
      <c r="AL911" s="148"/>
      <c r="AM911" s="148"/>
      <c r="AN911" s="148"/>
      <c r="AO911" s="148"/>
      <c r="AP911" s="148"/>
      <c r="AQ911" s="148"/>
      <c r="AR911" s="148"/>
      <c r="AS911" s="148"/>
      <c r="AT911" s="148"/>
      <c r="AU911" s="148"/>
      <c r="AV911" s="148"/>
      <c r="AW911" s="148"/>
      <c r="AX911" s="148"/>
      <c r="AY911" s="148"/>
      <c r="AZ911" s="148"/>
    </row>
    <row r="912" spans="20:52" x14ac:dyDescent="0.45">
      <c r="T912" s="148"/>
      <c r="U912" s="148"/>
      <c r="V912" s="148"/>
      <c r="W912" s="148"/>
      <c r="X912" s="148"/>
      <c r="Y912" s="148"/>
      <c r="Z912" s="148"/>
      <c r="AA912" s="148"/>
      <c r="AB912" s="148"/>
      <c r="AC912" s="148"/>
      <c r="AD912" s="148"/>
      <c r="AE912" s="148"/>
      <c r="AF912" s="148"/>
      <c r="AG912" s="148"/>
      <c r="AH912" s="148"/>
      <c r="AI912" s="148"/>
      <c r="AJ912" s="148"/>
      <c r="AK912" s="148"/>
      <c r="AL912" s="148"/>
      <c r="AM912" s="148"/>
      <c r="AN912" s="148"/>
      <c r="AO912" s="148"/>
      <c r="AP912" s="148"/>
      <c r="AQ912" s="148"/>
      <c r="AR912" s="148"/>
      <c r="AS912" s="148"/>
      <c r="AT912" s="148"/>
      <c r="AU912" s="148"/>
      <c r="AV912" s="148"/>
      <c r="AW912" s="148"/>
      <c r="AX912" s="148"/>
      <c r="AY912" s="148"/>
      <c r="AZ912" s="148"/>
    </row>
    <row r="913" spans="20:52" x14ac:dyDescent="0.45">
      <c r="T913" s="148"/>
      <c r="U913" s="148"/>
      <c r="V913" s="148"/>
      <c r="W913" s="148"/>
      <c r="X913" s="148"/>
      <c r="Y913" s="148"/>
      <c r="Z913" s="148"/>
      <c r="AA913" s="148"/>
      <c r="AB913" s="148"/>
      <c r="AC913" s="148"/>
      <c r="AD913" s="148"/>
      <c r="AE913" s="148"/>
      <c r="AF913" s="148"/>
      <c r="AG913" s="148"/>
      <c r="AH913" s="148"/>
      <c r="AI913" s="148"/>
      <c r="AJ913" s="148"/>
      <c r="AK913" s="148"/>
      <c r="AL913" s="148"/>
      <c r="AM913" s="148"/>
      <c r="AN913" s="148"/>
      <c r="AO913" s="148"/>
      <c r="AP913" s="148"/>
      <c r="AQ913" s="148"/>
      <c r="AR913" s="148"/>
      <c r="AS913" s="148"/>
      <c r="AT913" s="148"/>
      <c r="AU913" s="148"/>
      <c r="AV913" s="148"/>
      <c r="AW913" s="148"/>
      <c r="AX913" s="148"/>
      <c r="AY913" s="148"/>
      <c r="AZ913" s="148"/>
    </row>
    <row r="914" spans="20:52" x14ac:dyDescent="0.45">
      <c r="T914" s="148"/>
      <c r="U914" s="148"/>
      <c r="V914" s="148"/>
      <c r="W914" s="148"/>
      <c r="X914" s="148"/>
      <c r="Y914" s="148"/>
      <c r="Z914" s="148"/>
      <c r="AA914" s="148"/>
      <c r="AB914" s="148"/>
      <c r="AC914" s="148"/>
      <c r="AD914" s="148"/>
      <c r="AE914" s="148"/>
      <c r="AF914" s="148"/>
      <c r="AG914" s="148"/>
      <c r="AH914" s="148"/>
      <c r="AI914" s="148"/>
      <c r="AJ914" s="148"/>
      <c r="AK914" s="148"/>
      <c r="AL914" s="148"/>
      <c r="AM914" s="148"/>
      <c r="AN914" s="148"/>
      <c r="AO914" s="148"/>
      <c r="AP914" s="148"/>
      <c r="AQ914" s="148"/>
      <c r="AR914" s="148"/>
      <c r="AS914" s="148"/>
      <c r="AT914" s="148"/>
      <c r="AU914" s="148"/>
      <c r="AV914" s="148"/>
      <c r="AW914" s="148"/>
      <c r="AX914" s="148"/>
      <c r="AY914" s="148"/>
      <c r="AZ914" s="148"/>
    </row>
    <row r="915" spans="20:52" x14ac:dyDescent="0.45">
      <c r="T915" s="148"/>
      <c r="U915" s="148"/>
      <c r="V915" s="148"/>
      <c r="W915" s="148"/>
      <c r="X915" s="148"/>
      <c r="Y915" s="148"/>
      <c r="Z915" s="148"/>
      <c r="AA915" s="148"/>
      <c r="AB915" s="148"/>
      <c r="AC915" s="148"/>
      <c r="AD915" s="148"/>
      <c r="AE915" s="148"/>
      <c r="AF915" s="148"/>
      <c r="AG915" s="148"/>
      <c r="AH915" s="148"/>
      <c r="AI915" s="148"/>
      <c r="AJ915" s="148"/>
      <c r="AK915" s="148"/>
      <c r="AL915" s="148"/>
      <c r="AM915" s="148"/>
      <c r="AN915" s="148"/>
      <c r="AO915" s="148"/>
      <c r="AP915" s="148"/>
      <c r="AQ915" s="148"/>
      <c r="AR915" s="148"/>
      <c r="AS915" s="148"/>
      <c r="AT915" s="148"/>
      <c r="AU915" s="148"/>
      <c r="AV915" s="148"/>
      <c r="AW915" s="148"/>
      <c r="AX915" s="148"/>
      <c r="AY915" s="148"/>
      <c r="AZ915" s="148"/>
    </row>
    <row r="916" spans="20:52" x14ac:dyDescent="0.45">
      <c r="T916" s="148"/>
      <c r="U916" s="148"/>
      <c r="V916" s="148"/>
      <c r="W916" s="148"/>
      <c r="X916" s="148"/>
      <c r="Y916" s="148"/>
      <c r="Z916" s="148"/>
      <c r="AA916" s="148"/>
      <c r="AB916" s="148"/>
      <c r="AC916" s="148"/>
      <c r="AD916" s="148"/>
      <c r="AE916" s="148"/>
      <c r="AF916" s="148"/>
      <c r="AG916" s="148"/>
      <c r="AH916" s="148"/>
      <c r="AI916" s="148"/>
      <c r="AJ916" s="148"/>
      <c r="AK916" s="148"/>
      <c r="AL916" s="148"/>
      <c r="AM916" s="148"/>
      <c r="AN916" s="148"/>
      <c r="AO916" s="148"/>
      <c r="AP916" s="148"/>
      <c r="AQ916" s="148"/>
      <c r="AR916" s="148"/>
      <c r="AS916" s="148"/>
      <c r="AT916" s="148"/>
      <c r="AU916" s="148"/>
      <c r="AV916" s="148"/>
      <c r="AW916" s="148"/>
      <c r="AX916" s="148"/>
      <c r="AY916" s="148"/>
      <c r="AZ916" s="148"/>
    </row>
    <row r="917" spans="20:52" x14ac:dyDescent="0.45">
      <c r="T917" s="148"/>
      <c r="U917" s="148"/>
      <c r="V917" s="148"/>
      <c r="W917" s="148"/>
      <c r="X917" s="148"/>
      <c r="Y917" s="148"/>
      <c r="Z917" s="148"/>
      <c r="AA917" s="148"/>
      <c r="AB917" s="148"/>
      <c r="AC917" s="148"/>
      <c r="AD917" s="148"/>
      <c r="AE917" s="148"/>
      <c r="AF917" s="148"/>
      <c r="AG917" s="148"/>
      <c r="AH917" s="148"/>
      <c r="AI917" s="148"/>
      <c r="AJ917" s="148"/>
      <c r="AK917" s="148"/>
      <c r="AL917" s="148"/>
      <c r="AM917" s="148"/>
      <c r="AN917" s="148"/>
      <c r="AO917" s="148"/>
      <c r="AP917" s="148"/>
      <c r="AQ917" s="148"/>
      <c r="AR917" s="148"/>
      <c r="AS917" s="148"/>
      <c r="AT917" s="148"/>
      <c r="AU917" s="148"/>
      <c r="AV917" s="148"/>
      <c r="AW917" s="148"/>
      <c r="AX917" s="148"/>
      <c r="AY917" s="148"/>
      <c r="AZ917" s="148"/>
    </row>
    <row r="918" spans="20:52" x14ac:dyDescent="0.45">
      <c r="T918" s="148"/>
      <c r="U918" s="148"/>
      <c r="V918" s="148"/>
      <c r="W918" s="148"/>
      <c r="X918" s="148"/>
      <c r="Y918" s="148"/>
      <c r="Z918" s="148"/>
      <c r="AA918" s="148"/>
      <c r="AB918" s="148"/>
      <c r="AC918" s="148"/>
      <c r="AD918" s="148"/>
      <c r="AE918" s="148"/>
      <c r="AF918" s="148"/>
      <c r="AG918" s="148"/>
      <c r="AH918" s="148"/>
      <c r="AI918" s="148"/>
      <c r="AJ918" s="148"/>
      <c r="AK918" s="148"/>
      <c r="AL918" s="148"/>
      <c r="AM918" s="148"/>
      <c r="AN918" s="148"/>
      <c r="AO918" s="148"/>
      <c r="AP918" s="148"/>
      <c r="AQ918" s="148"/>
      <c r="AR918" s="148"/>
      <c r="AS918" s="148"/>
      <c r="AT918" s="148"/>
      <c r="AU918" s="148"/>
      <c r="AV918" s="148"/>
      <c r="AW918" s="148"/>
      <c r="AX918" s="148"/>
      <c r="AY918" s="148"/>
      <c r="AZ918" s="148"/>
    </row>
    <row r="919" spans="20:52" x14ac:dyDescent="0.45">
      <c r="T919" s="148"/>
      <c r="U919" s="148"/>
      <c r="V919" s="148"/>
      <c r="W919" s="148"/>
      <c r="X919" s="148"/>
      <c r="Y919" s="148"/>
      <c r="Z919" s="148"/>
      <c r="AA919" s="148"/>
      <c r="AB919" s="148"/>
      <c r="AC919" s="148"/>
      <c r="AD919" s="148"/>
      <c r="AE919" s="148"/>
      <c r="AF919" s="148"/>
      <c r="AG919" s="148"/>
      <c r="AH919" s="148"/>
      <c r="AI919" s="148"/>
      <c r="AJ919" s="148"/>
      <c r="AK919" s="148"/>
      <c r="AL919" s="148"/>
      <c r="AM919" s="148"/>
      <c r="AN919" s="148"/>
      <c r="AO919" s="148"/>
      <c r="AP919" s="148"/>
      <c r="AQ919" s="148"/>
      <c r="AR919" s="148"/>
      <c r="AS919" s="148"/>
      <c r="AT919" s="148"/>
      <c r="AU919" s="148"/>
      <c r="AV919" s="148"/>
      <c r="AW919" s="148"/>
      <c r="AX919" s="148"/>
      <c r="AY919" s="148"/>
      <c r="AZ919" s="148"/>
    </row>
    <row r="920" spans="20:52" x14ac:dyDescent="0.45">
      <c r="T920" s="148"/>
      <c r="U920" s="148"/>
      <c r="V920" s="148"/>
      <c r="W920" s="148"/>
      <c r="X920" s="148"/>
      <c r="Y920" s="148"/>
      <c r="Z920" s="148"/>
      <c r="AA920" s="148"/>
      <c r="AB920" s="148"/>
      <c r="AC920" s="148"/>
      <c r="AD920" s="148"/>
      <c r="AE920" s="148"/>
      <c r="AF920" s="148"/>
      <c r="AG920" s="148"/>
      <c r="AH920" s="148"/>
      <c r="AI920" s="148"/>
      <c r="AJ920" s="148"/>
      <c r="AK920" s="148"/>
      <c r="AL920" s="148"/>
      <c r="AM920" s="148"/>
      <c r="AN920" s="148"/>
      <c r="AO920" s="148"/>
      <c r="AP920" s="148"/>
      <c r="AQ920" s="148"/>
      <c r="AR920" s="148"/>
      <c r="AS920" s="148"/>
      <c r="AT920" s="148"/>
      <c r="AU920" s="148"/>
      <c r="AV920" s="148"/>
      <c r="AW920" s="148"/>
      <c r="AX920" s="148"/>
      <c r="AY920" s="148"/>
      <c r="AZ920" s="148"/>
    </row>
    <row r="921" spans="20:52" x14ac:dyDescent="0.45">
      <c r="T921" s="148"/>
      <c r="U921" s="148"/>
      <c r="V921" s="148"/>
      <c r="W921" s="148"/>
      <c r="X921" s="148"/>
      <c r="Y921" s="148"/>
      <c r="Z921" s="148"/>
      <c r="AA921" s="148"/>
      <c r="AB921" s="148"/>
      <c r="AC921" s="148"/>
      <c r="AD921" s="148"/>
      <c r="AE921" s="148"/>
      <c r="AF921" s="148"/>
      <c r="AG921" s="148"/>
      <c r="AH921" s="148"/>
      <c r="AI921" s="148"/>
      <c r="AJ921" s="148"/>
      <c r="AK921" s="148"/>
      <c r="AL921" s="148"/>
      <c r="AM921" s="148"/>
      <c r="AN921" s="148"/>
      <c r="AO921" s="148"/>
      <c r="AP921" s="148"/>
      <c r="AQ921" s="148"/>
      <c r="AR921" s="148"/>
      <c r="AS921" s="148"/>
      <c r="AT921" s="148"/>
      <c r="AU921" s="148"/>
      <c r="AV921" s="148"/>
      <c r="AW921" s="148"/>
      <c r="AX921" s="148"/>
      <c r="AY921" s="148"/>
      <c r="AZ921" s="148"/>
    </row>
    <row r="922" spans="20:52" x14ac:dyDescent="0.45">
      <c r="T922" s="148"/>
      <c r="U922" s="148"/>
      <c r="V922" s="148"/>
      <c r="W922" s="148"/>
      <c r="X922" s="148"/>
      <c r="Y922" s="148"/>
      <c r="Z922" s="148"/>
      <c r="AA922" s="148"/>
      <c r="AB922" s="148"/>
      <c r="AC922" s="148"/>
      <c r="AD922" s="148"/>
      <c r="AE922" s="148"/>
      <c r="AF922" s="148"/>
      <c r="AG922" s="148"/>
      <c r="AH922" s="148"/>
      <c r="AI922" s="148"/>
      <c r="AJ922" s="148"/>
      <c r="AK922" s="148"/>
      <c r="AL922" s="148"/>
      <c r="AM922" s="148"/>
      <c r="AN922" s="148"/>
      <c r="AO922" s="148"/>
      <c r="AP922" s="148"/>
      <c r="AQ922" s="148"/>
      <c r="AR922" s="148"/>
      <c r="AS922" s="148"/>
      <c r="AT922" s="148"/>
      <c r="AU922" s="148"/>
      <c r="AV922" s="148"/>
      <c r="AW922" s="148"/>
      <c r="AX922" s="148"/>
      <c r="AY922" s="148"/>
      <c r="AZ922" s="148"/>
    </row>
    <row r="923" spans="20:52" x14ac:dyDescent="0.45">
      <c r="T923" s="148"/>
      <c r="U923" s="148"/>
      <c r="V923" s="148"/>
      <c r="W923" s="148"/>
      <c r="X923" s="148"/>
      <c r="Y923" s="148"/>
      <c r="Z923" s="148"/>
      <c r="AA923" s="148"/>
      <c r="AB923" s="148"/>
      <c r="AC923" s="148"/>
      <c r="AD923" s="148"/>
      <c r="AE923" s="148"/>
      <c r="AF923" s="148"/>
      <c r="AG923" s="148"/>
      <c r="AH923" s="148"/>
      <c r="AI923" s="148"/>
      <c r="AJ923" s="148"/>
      <c r="AK923" s="148"/>
      <c r="AL923" s="148"/>
      <c r="AM923" s="148"/>
      <c r="AN923" s="148"/>
      <c r="AO923" s="148"/>
      <c r="AP923" s="148"/>
      <c r="AQ923" s="148"/>
      <c r="AR923" s="148"/>
      <c r="AS923" s="148"/>
      <c r="AT923" s="148"/>
      <c r="AU923" s="148"/>
      <c r="AV923" s="148"/>
      <c r="AW923" s="148"/>
      <c r="AX923" s="148"/>
      <c r="AY923" s="148"/>
      <c r="AZ923" s="148"/>
    </row>
    <row r="924" spans="20:52" x14ac:dyDescent="0.45">
      <c r="T924" s="148"/>
      <c r="U924" s="148"/>
      <c r="V924" s="148"/>
      <c r="W924" s="148"/>
      <c r="X924" s="148"/>
      <c r="Y924" s="148"/>
      <c r="Z924" s="148"/>
      <c r="AA924" s="148"/>
      <c r="AB924" s="148"/>
      <c r="AC924" s="148"/>
      <c r="AD924" s="148"/>
      <c r="AE924" s="148"/>
      <c r="AF924" s="148"/>
      <c r="AG924" s="148"/>
      <c r="AH924" s="148"/>
      <c r="AI924" s="148"/>
      <c r="AJ924" s="148"/>
      <c r="AK924" s="148"/>
      <c r="AL924" s="148"/>
      <c r="AM924" s="148"/>
      <c r="AN924" s="148"/>
      <c r="AO924" s="148"/>
      <c r="AP924" s="148"/>
      <c r="AQ924" s="148"/>
      <c r="AR924" s="148"/>
      <c r="AS924" s="148"/>
      <c r="AT924" s="148"/>
      <c r="AU924" s="148"/>
      <c r="AV924" s="148"/>
      <c r="AW924" s="148"/>
      <c r="AX924" s="148"/>
      <c r="AY924" s="148"/>
      <c r="AZ924" s="148"/>
    </row>
    <row r="925" spans="20:52" x14ac:dyDescent="0.45">
      <c r="T925" s="148"/>
      <c r="U925" s="148"/>
      <c r="V925" s="148"/>
      <c r="W925" s="148"/>
      <c r="X925" s="148"/>
      <c r="Y925" s="148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48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</row>
    <row r="926" spans="20:52" x14ac:dyDescent="0.45">
      <c r="T926" s="148"/>
      <c r="U926" s="148"/>
      <c r="V926" s="148"/>
      <c r="W926" s="148"/>
      <c r="X926" s="148"/>
      <c r="Y926" s="148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48"/>
      <c r="AQ926" s="148"/>
      <c r="AR926" s="148"/>
      <c r="AS926" s="148"/>
      <c r="AT926" s="148"/>
      <c r="AU926" s="148"/>
      <c r="AV926" s="148"/>
      <c r="AW926" s="148"/>
      <c r="AX926" s="148"/>
      <c r="AY926" s="148"/>
      <c r="AZ926" s="148"/>
    </row>
    <row r="927" spans="20:52" x14ac:dyDescent="0.45">
      <c r="T927" s="148"/>
      <c r="U927" s="148"/>
      <c r="V927" s="148"/>
      <c r="W927" s="148"/>
      <c r="X927" s="148"/>
      <c r="Y927" s="148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48"/>
      <c r="AQ927" s="148"/>
      <c r="AR927" s="148"/>
      <c r="AS927" s="148"/>
      <c r="AT927" s="148"/>
      <c r="AU927" s="148"/>
      <c r="AV927" s="148"/>
      <c r="AW927" s="148"/>
      <c r="AX927" s="148"/>
      <c r="AY927" s="148"/>
      <c r="AZ927" s="148"/>
    </row>
    <row r="928" spans="20:52" x14ac:dyDescent="0.45">
      <c r="T928" s="148"/>
      <c r="U928" s="148"/>
      <c r="V928" s="148"/>
      <c r="W928" s="148"/>
      <c r="X928" s="148"/>
      <c r="Y928" s="148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</row>
    <row r="929" spans="20:52" x14ac:dyDescent="0.45">
      <c r="T929" s="148"/>
      <c r="U929" s="148"/>
      <c r="V929" s="148"/>
      <c r="W929" s="148"/>
      <c r="X929" s="148"/>
      <c r="Y929" s="148"/>
      <c r="Z929" s="148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N929" s="148"/>
      <c r="AO929" s="148"/>
      <c r="AP929" s="148"/>
      <c r="AQ929" s="148"/>
      <c r="AR929" s="148"/>
      <c r="AS929" s="148"/>
      <c r="AT929" s="148"/>
      <c r="AU929" s="148"/>
      <c r="AV929" s="148"/>
      <c r="AW929" s="148"/>
      <c r="AX929" s="148"/>
      <c r="AY929" s="148"/>
      <c r="AZ929" s="148"/>
    </row>
    <row r="930" spans="20:52" x14ac:dyDescent="0.45">
      <c r="T930" s="148"/>
      <c r="U930" s="148"/>
      <c r="V930" s="148"/>
      <c r="W930" s="148"/>
      <c r="X930" s="148"/>
      <c r="Y930" s="148"/>
      <c r="Z930" s="148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 s="148"/>
      <c r="AP930" s="148"/>
      <c r="AQ930" s="148"/>
      <c r="AR930" s="148"/>
      <c r="AS930" s="148"/>
      <c r="AT930" s="148"/>
      <c r="AU930" s="148"/>
      <c r="AV930" s="148"/>
      <c r="AW930" s="148"/>
      <c r="AX930" s="148"/>
      <c r="AY930" s="148"/>
      <c r="AZ930" s="148"/>
    </row>
    <row r="931" spans="20:52" x14ac:dyDescent="0.45">
      <c r="T931" s="148"/>
      <c r="U931" s="148"/>
      <c r="V931" s="148"/>
      <c r="W931" s="148"/>
      <c r="X931" s="148"/>
      <c r="Y931" s="148"/>
      <c r="Z931" s="148"/>
      <c r="AA931" s="148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 s="148"/>
      <c r="AP931" s="148"/>
      <c r="AQ931" s="148"/>
      <c r="AR931" s="148"/>
      <c r="AS931" s="148"/>
      <c r="AT931" s="148"/>
      <c r="AU931" s="148"/>
      <c r="AV931" s="148"/>
      <c r="AW931" s="148"/>
      <c r="AX931" s="148"/>
      <c r="AY931" s="148"/>
      <c r="AZ931" s="148"/>
    </row>
    <row r="932" spans="20:52" x14ac:dyDescent="0.45">
      <c r="T932" s="148"/>
      <c r="U932" s="148"/>
      <c r="V932" s="148"/>
      <c r="W932" s="148"/>
      <c r="X932" s="148"/>
      <c r="Y932" s="148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X932" s="148"/>
      <c r="AY932" s="148"/>
      <c r="AZ932" s="148"/>
    </row>
    <row r="933" spans="20:52" x14ac:dyDescent="0.45">
      <c r="T933" s="148"/>
      <c r="U933" s="148"/>
      <c r="V933" s="148"/>
      <c r="W933" s="148"/>
      <c r="X933" s="148"/>
      <c r="Y933" s="148"/>
      <c r="Z933" s="148"/>
      <c r="AA933" s="148"/>
      <c r="AB933" s="148"/>
      <c r="AC933" s="148"/>
      <c r="AD933" s="148"/>
      <c r="AE933" s="148"/>
      <c r="AF933" s="148"/>
      <c r="AG933" s="148"/>
      <c r="AH933" s="148"/>
      <c r="AI933" s="148"/>
      <c r="AJ933" s="148"/>
      <c r="AK933" s="148"/>
      <c r="AL933" s="148"/>
      <c r="AM933" s="148"/>
      <c r="AN933" s="148"/>
      <c r="AO933" s="148"/>
      <c r="AP933" s="148"/>
      <c r="AQ933" s="148"/>
      <c r="AR933" s="148"/>
      <c r="AS933" s="148"/>
      <c r="AT933" s="148"/>
      <c r="AU933" s="148"/>
      <c r="AV933" s="148"/>
      <c r="AW933" s="148"/>
      <c r="AX933" s="148"/>
      <c r="AY933" s="148"/>
      <c r="AZ933" s="148"/>
    </row>
    <row r="934" spans="20:52" x14ac:dyDescent="0.45">
      <c r="T934" s="148"/>
      <c r="U934" s="148"/>
      <c r="V934" s="148"/>
      <c r="W934" s="148"/>
      <c r="X934" s="148"/>
      <c r="Y934" s="148"/>
      <c r="Z934" s="148"/>
      <c r="AA934" s="148"/>
      <c r="AB934" s="148"/>
      <c r="AC934" s="148"/>
      <c r="AD934" s="148"/>
      <c r="AE934" s="148"/>
      <c r="AF934" s="148"/>
      <c r="AG934" s="148"/>
      <c r="AH934" s="148"/>
      <c r="AI934" s="148"/>
      <c r="AJ934" s="148"/>
      <c r="AK934" s="148"/>
      <c r="AL934" s="148"/>
      <c r="AM934" s="148"/>
      <c r="AN934" s="148"/>
      <c r="AO934" s="148"/>
      <c r="AP934" s="148"/>
      <c r="AQ934" s="148"/>
      <c r="AR934" s="148"/>
      <c r="AS934" s="148"/>
      <c r="AT934" s="148"/>
      <c r="AU934" s="148"/>
      <c r="AV934" s="148"/>
      <c r="AW934" s="148"/>
      <c r="AX934" s="148"/>
      <c r="AY934" s="148"/>
      <c r="AZ934" s="148"/>
    </row>
    <row r="935" spans="20:52" x14ac:dyDescent="0.45">
      <c r="T935" s="148"/>
      <c r="U935" s="148"/>
      <c r="V935" s="148"/>
      <c r="W935" s="148"/>
      <c r="X935" s="148"/>
      <c r="Y935" s="148"/>
      <c r="Z935" s="148"/>
      <c r="AA935" s="148"/>
      <c r="AB935" s="148"/>
      <c r="AC935" s="148"/>
      <c r="AD935" s="148"/>
      <c r="AE935" s="148"/>
      <c r="AF935" s="148"/>
      <c r="AG935" s="148"/>
      <c r="AH935" s="148"/>
      <c r="AI935" s="148"/>
      <c r="AJ935" s="148"/>
      <c r="AK935" s="148"/>
      <c r="AL935" s="148"/>
      <c r="AM935" s="148"/>
      <c r="AN935" s="148"/>
      <c r="AO935" s="148"/>
      <c r="AP935" s="148"/>
      <c r="AQ935" s="148"/>
      <c r="AR935" s="148"/>
      <c r="AS935" s="148"/>
      <c r="AT935" s="148"/>
      <c r="AU935" s="148"/>
      <c r="AV935" s="148"/>
      <c r="AW935" s="148"/>
      <c r="AX935" s="148"/>
      <c r="AY935" s="148"/>
      <c r="AZ935" s="148"/>
    </row>
    <row r="936" spans="20:52" x14ac:dyDescent="0.45">
      <c r="T936" s="148"/>
      <c r="U936" s="148"/>
      <c r="V936" s="148"/>
      <c r="W936" s="148"/>
      <c r="X936" s="148"/>
      <c r="Y936" s="148"/>
      <c r="Z936" s="148"/>
      <c r="AA936" s="148"/>
      <c r="AB936" s="148"/>
      <c r="AC936" s="148"/>
      <c r="AD936" s="148"/>
      <c r="AE936" s="148"/>
      <c r="AF936" s="148"/>
      <c r="AG936" s="148"/>
      <c r="AH936" s="148"/>
      <c r="AI936" s="148"/>
      <c r="AJ936" s="148"/>
      <c r="AK936" s="148"/>
      <c r="AL936" s="148"/>
      <c r="AM936" s="148"/>
      <c r="AN936" s="148"/>
      <c r="AO936" s="148"/>
      <c r="AP936" s="148"/>
      <c r="AQ936" s="148"/>
      <c r="AR936" s="148"/>
      <c r="AS936" s="148"/>
      <c r="AT936" s="148"/>
      <c r="AU936" s="148"/>
      <c r="AV936" s="148"/>
      <c r="AW936" s="148"/>
      <c r="AX936" s="148"/>
      <c r="AY936" s="148"/>
      <c r="AZ936" s="148"/>
    </row>
    <row r="937" spans="20:52" x14ac:dyDescent="0.45">
      <c r="T937" s="148"/>
      <c r="U937" s="148"/>
      <c r="V937" s="148"/>
      <c r="W937" s="148"/>
      <c r="X937" s="148"/>
      <c r="Y937" s="148"/>
      <c r="Z937" s="148"/>
      <c r="AA937" s="148"/>
      <c r="AB937" s="148"/>
      <c r="AC937" s="148"/>
      <c r="AD937" s="148"/>
      <c r="AE937" s="148"/>
      <c r="AF937" s="148"/>
      <c r="AG937" s="148"/>
      <c r="AH937" s="148"/>
      <c r="AI937" s="148"/>
      <c r="AJ937" s="148"/>
      <c r="AK937" s="148"/>
      <c r="AL937" s="148"/>
      <c r="AM937" s="148"/>
      <c r="AN937" s="148"/>
      <c r="AO937" s="148"/>
      <c r="AP937" s="148"/>
      <c r="AQ937" s="148"/>
      <c r="AR937" s="148"/>
      <c r="AS937" s="148"/>
      <c r="AT937" s="148"/>
      <c r="AU937" s="148"/>
      <c r="AV937" s="148"/>
      <c r="AW937" s="148"/>
      <c r="AX937" s="148"/>
      <c r="AY937" s="148"/>
      <c r="AZ937" s="148"/>
    </row>
    <row r="938" spans="20:52" x14ac:dyDescent="0.45">
      <c r="T938" s="148"/>
      <c r="U938" s="148"/>
      <c r="V938" s="148"/>
      <c r="W938" s="148"/>
      <c r="X938" s="148"/>
      <c r="Y938" s="148"/>
      <c r="Z938" s="148"/>
      <c r="AA938" s="148"/>
      <c r="AB938" s="148"/>
      <c r="AC938" s="148"/>
      <c r="AD938" s="148"/>
      <c r="AE938" s="148"/>
      <c r="AF938" s="148"/>
      <c r="AG938" s="148"/>
      <c r="AH938" s="148"/>
      <c r="AI938" s="148"/>
      <c r="AJ938" s="148"/>
      <c r="AK938" s="148"/>
      <c r="AL938" s="148"/>
      <c r="AM938" s="148"/>
      <c r="AN938" s="148"/>
      <c r="AO938" s="148"/>
      <c r="AP938" s="148"/>
      <c r="AQ938" s="148"/>
      <c r="AR938" s="148"/>
      <c r="AS938" s="148"/>
      <c r="AT938" s="148"/>
      <c r="AU938" s="148"/>
      <c r="AV938" s="148"/>
      <c r="AW938" s="148"/>
      <c r="AX938" s="148"/>
      <c r="AY938" s="148"/>
      <c r="AZ938" s="148"/>
    </row>
    <row r="939" spans="20:52" x14ac:dyDescent="0.45">
      <c r="T939" s="148"/>
      <c r="U939" s="148"/>
      <c r="V939" s="148"/>
      <c r="W939" s="148"/>
      <c r="X939" s="148"/>
      <c r="Y939" s="148"/>
      <c r="Z939" s="148"/>
      <c r="AA939" s="148"/>
      <c r="AB939" s="148"/>
      <c r="AC939" s="148"/>
      <c r="AD939" s="148"/>
      <c r="AE939" s="148"/>
      <c r="AF939" s="148"/>
      <c r="AG939" s="148"/>
      <c r="AH939" s="148"/>
      <c r="AI939" s="148"/>
      <c r="AJ939" s="148"/>
      <c r="AK939" s="148"/>
      <c r="AL939" s="148"/>
      <c r="AM939" s="148"/>
      <c r="AN939" s="148"/>
      <c r="AO939" s="148"/>
      <c r="AP939" s="148"/>
      <c r="AQ939" s="148"/>
      <c r="AR939" s="148"/>
      <c r="AS939" s="148"/>
      <c r="AT939" s="148"/>
      <c r="AU939" s="148"/>
      <c r="AV939" s="148"/>
      <c r="AW939" s="148"/>
      <c r="AX939" s="148"/>
      <c r="AY939" s="148"/>
      <c r="AZ939" s="148"/>
    </row>
    <row r="940" spans="20:52" x14ac:dyDescent="0.45">
      <c r="T940" s="148"/>
      <c r="U940" s="148"/>
      <c r="V940" s="148"/>
      <c r="W940" s="148"/>
      <c r="X940" s="148"/>
      <c r="Y940" s="148"/>
      <c r="Z940" s="148"/>
      <c r="AA940" s="148"/>
      <c r="AB940" s="148"/>
      <c r="AC940" s="148"/>
      <c r="AD940" s="148"/>
      <c r="AE940" s="148"/>
      <c r="AF940" s="148"/>
      <c r="AG940" s="148"/>
      <c r="AH940" s="148"/>
      <c r="AI940" s="148"/>
      <c r="AJ940" s="148"/>
      <c r="AK940" s="148"/>
      <c r="AL940" s="148"/>
      <c r="AM940" s="148"/>
      <c r="AN940" s="148"/>
      <c r="AO940" s="148"/>
      <c r="AP940" s="148"/>
      <c r="AQ940" s="148"/>
      <c r="AR940" s="148"/>
      <c r="AS940" s="148"/>
      <c r="AT940" s="148"/>
      <c r="AU940" s="148"/>
      <c r="AV940" s="148"/>
      <c r="AW940" s="148"/>
      <c r="AX940" s="148"/>
      <c r="AY940" s="148"/>
      <c r="AZ940" s="148"/>
    </row>
    <row r="941" spans="20:52" x14ac:dyDescent="0.45">
      <c r="T941" s="148"/>
      <c r="U941" s="148"/>
      <c r="V941" s="148"/>
      <c r="W941" s="148"/>
      <c r="X941" s="148"/>
      <c r="Y941" s="148"/>
      <c r="Z941" s="148"/>
      <c r="AA941" s="148"/>
      <c r="AB941" s="148"/>
      <c r="AC941" s="148"/>
      <c r="AD941" s="148"/>
      <c r="AE941" s="148"/>
      <c r="AF941" s="148"/>
      <c r="AG941" s="148"/>
      <c r="AH941" s="148"/>
      <c r="AI941" s="148"/>
      <c r="AJ941" s="148"/>
      <c r="AK941" s="148"/>
      <c r="AL941" s="148"/>
      <c r="AM941" s="148"/>
      <c r="AN941" s="148"/>
      <c r="AO941" s="148"/>
      <c r="AP941" s="148"/>
      <c r="AQ941" s="148"/>
      <c r="AR941" s="148"/>
      <c r="AS941" s="148"/>
      <c r="AT941" s="148"/>
      <c r="AU941" s="148"/>
      <c r="AV941" s="148"/>
      <c r="AW941" s="148"/>
      <c r="AX941" s="148"/>
      <c r="AY941" s="148"/>
      <c r="AZ941" s="148"/>
    </row>
    <row r="942" spans="20:52" x14ac:dyDescent="0.45">
      <c r="T942" s="148"/>
      <c r="U942" s="148"/>
      <c r="V942" s="148"/>
      <c r="W942" s="148"/>
      <c r="X942" s="148"/>
      <c r="Y942" s="148"/>
      <c r="Z942" s="148"/>
      <c r="AA942" s="148"/>
      <c r="AB942" s="148"/>
      <c r="AC942" s="148"/>
      <c r="AD942" s="148"/>
      <c r="AE942" s="148"/>
      <c r="AF942" s="148"/>
      <c r="AG942" s="148"/>
      <c r="AH942" s="148"/>
      <c r="AI942" s="148"/>
      <c r="AJ942" s="148"/>
      <c r="AK942" s="148"/>
      <c r="AL942" s="148"/>
      <c r="AM942" s="148"/>
      <c r="AN942" s="148"/>
      <c r="AO942" s="148"/>
      <c r="AP942" s="148"/>
      <c r="AQ942" s="148"/>
      <c r="AR942" s="148"/>
      <c r="AS942" s="148"/>
      <c r="AT942" s="148"/>
      <c r="AU942" s="148"/>
      <c r="AV942" s="148"/>
      <c r="AW942" s="148"/>
      <c r="AX942" s="148"/>
      <c r="AY942" s="148"/>
      <c r="AZ942" s="148"/>
    </row>
    <row r="943" spans="20:52" x14ac:dyDescent="0.45">
      <c r="T943" s="148"/>
      <c r="U943" s="148"/>
      <c r="V943" s="148"/>
      <c r="W943" s="148"/>
      <c r="X943" s="148"/>
      <c r="Y943" s="148"/>
      <c r="Z943" s="148"/>
      <c r="AA943" s="148"/>
      <c r="AB943" s="148"/>
      <c r="AC943" s="148"/>
      <c r="AD943" s="148"/>
      <c r="AE943" s="148"/>
      <c r="AF943" s="148"/>
      <c r="AG943" s="148"/>
      <c r="AH943" s="148"/>
      <c r="AI943" s="148"/>
      <c r="AJ943" s="148"/>
      <c r="AK943" s="148"/>
      <c r="AL943" s="148"/>
      <c r="AM943" s="148"/>
      <c r="AN943" s="148"/>
      <c r="AO943" s="148"/>
      <c r="AP943" s="148"/>
      <c r="AQ943" s="148"/>
      <c r="AR943" s="148"/>
      <c r="AS943" s="148"/>
      <c r="AT943" s="148"/>
      <c r="AU943" s="148"/>
      <c r="AV943" s="148"/>
      <c r="AW943" s="148"/>
      <c r="AX943" s="148"/>
      <c r="AY943" s="148"/>
      <c r="AZ943" s="148"/>
    </row>
    <row r="944" spans="20:52" x14ac:dyDescent="0.45">
      <c r="T944" s="148"/>
      <c r="U944" s="148"/>
      <c r="V944" s="148"/>
      <c r="W944" s="148"/>
      <c r="X944" s="148"/>
      <c r="Y944" s="148"/>
      <c r="Z944" s="148"/>
      <c r="AA944" s="148"/>
      <c r="AB944" s="148"/>
      <c r="AC944" s="148"/>
      <c r="AD944" s="148"/>
      <c r="AE944" s="148"/>
      <c r="AF944" s="148"/>
      <c r="AG944" s="148"/>
      <c r="AH944" s="148"/>
      <c r="AI944" s="148"/>
      <c r="AJ944" s="148"/>
      <c r="AK944" s="148"/>
      <c r="AL944" s="148"/>
      <c r="AM944" s="148"/>
      <c r="AN944" s="148"/>
      <c r="AO944" s="148"/>
      <c r="AP944" s="148"/>
      <c r="AQ944" s="148"/>
      <c r="AR944" s="148"/>
      <c r="AS944" s="148"/>
      <c r="AT944" s="148"/>
      <c r="AU944" s="148"/>
      <c r="AV944" s="148"/>
      <c r="AW944" s="148"/>
      <c r="AX944" s="148"/>
      <c r="AY944" s="148"/>
      <c r="AZ944" s="148"/>
    </row>
    <row r="945" spans="20:52" x14ac:dyDescent="0.45">
      <c r="T945" s="148"/>
      <c r="U945" s="148"/>
      <c r="V945" s="148"/>
      <c r="W945" s="148"/>
      <c r="X945" s="148"/>
      <c r="Y945" s="148"/>
      <c r="Z945" s="148"/>
      <c r="AA945" s="148"/>
      <c r="AB945" s="148"/>
      <c r="AC945" s="148"/>
      <c r="AD945" s="148"/>
      <c r="AE945" s="148"/>
      <c r="AF945" s="148"/>
      <c r="AG945" s="148"/>
      <c r="AH945" s="148"/>
      <c r="AI945" s="148"/>
      <c r="AJ945" s="148"/>
      <c r="AK945" s="148"/>
      <c r="AL945" s="148"/>
      <c r="AM945" s="148"/>
      <c r="AN945" s="148"/>
      <c r="AO945" s="148"/>
      <c r="AP945" s="148"/>
      <c r="AQ945" s="148"/>
      <c r="AR945" s="148"/>
      <c r="AS945" s="148"/>
      <c r="AT945" s="148"/>
      <c r="AU945" s="148"/>
      <c r="AV945" s="148"/>
      <c r="AW945" s="148"/>
      <c r="AX945" s="148"/>
      <c r="AY945" s="148"/>
      <c r="AZ945" s="148"/>
    </row>
    <row r="946" spans="20:52" x14ac:dyDescent="0.45">
      <c r="T946" s="148"/>
      <c r="U946" s="148"/>
      <c r="V946" s="148"/>
      <c r="W946" s="148"/>
      <c r="X946" s="148"/>
      <c r="Y946" s="148"/>
      <c r="Z946" s="148"/>
      <c r="AA946" s="148"/>
      <c r="AB946" s="148"/>
      <c r="AC946" s="148"/>
      <c r="AD946" s="148"/>
      <c r="AE946" s="148"/>
      <c r="AF946" s="148"/>
      <c r="AG946" s="148"/>
      <c r="AH946" s="148"/>
      <c r="AI946" s="148"/>
      <c r="AJ946" s="148"/>
      <c r="AK946" s="148"/>
      <c r="AL946" s="148"/>
      <c r="AM946" s="148"/>
      <c r="AN946" s="148"/>
      <c r="AO946" s="148"/>
      <c r="AP946" s="148"/>
      <c r="AQ946" s="148"/>
      <c r="AR946" s="148"/>
      <c r="AS946" s="148"/>
      <c r="AT946" s="148"/>
      <c r="AU946" s="148"/>
      <c r="AV946" s="148"/>
      <c r="AW946" s="148"/>
      <c r="AX946" s="148"/>
      <c r="AY946" s="148"/>
      <c r="AZ946" s="148"/>
    </row>
    <row r="947" spans="20:52" x14ac:dyDescent="0.45">
      <c r="T947" s="148"/>
      <c r="U947" s="148"/>
      <c r="V947" s="148"/>
      <c r="W947" s="148"/>
      <c r="X947" s="148"/>
      <c r="Y947" s="148"/>
      <c r="Z947" s="148"/>
      <c r="AA947" s="148"/>
      <c r="AB947" s="148"/>
      <c r="AC947" s="148"/>
      <c r="AD947" s="148"/>
      <c r="AE947" s="148"/>
      <c r="AF947" s="148"/>
      <c r="AG947" s="148"/>
      <c r="AH947" s="148"/>
      <c r="AI947" s="148"/>
      <c r="AJ947" s="148"/>
      <c r="AK947" s="148"/>
      <c r="AL947" s="148"/>
      <c r="AM947" s="148"/>
      <c r="AN947" s="148"/>
      <c r="AO947" s="148"/>
      <c r="AP947" s="148"/>
      <c r="AQ947" s="148"/>
      <c r="AR947" s="148"/>
      <c r="AS947" s="148"/>
      <c r="AT947" s="148"/>
      <c r="AU947" s="148"/>
      <c r="AV947" s="148"/>
      <c r="AW947" s="148"/>
      <c r="AX947" s="148"/>
      <c r="AY947" s="148"/>
      <c r="AZ947" s="148"/>
    </row>
    <row r="948" spans="20:52" x14ac:dyDescent="0.45">
      <c r="T948" s="148"/>
      <c r="U948" s="148"/>
      <c r="V948" s="148"/>
      <c r="W948" s="148"/>
      <c r="X948" s="148"/>
      <c r="Y948" s="148"/>
      <c r="Z948" s="148"/>
      <c r="AA948" s="148"/>
      <c r="AB948" s="148"/>
      <c r="AC948" s="148"/>
      <c r="AD948" s="148"/>
      <c r="AE948" s="148"/>
      <c r="AF948" s="148"/>
      <c r="AG948" s="148"/>
      <c r="AH948" s="148"/>
      <c r="AI948" s="148"/>
      <c r="AJ948" s="148"/>
      <c r="AK948" s="148"/>
      <c r="AL948" s="148"/>
      <c r="AM948" s="148"/>
      <c r="AN948" s="148"/>
      <c r="AO948" s="148"/>
      <c r="AP948" s="148"/>
      <c r="AQ948" s="148"/>
      <c r="AR948" s="148"/>
      <c r="AS948" s="148"/>
      <c r="AT948" s="148"/>
      <c r="AU948" s="148"/>
      <c r="AV948" s="148"/>
      <c r="AW948" s="148"/>
      <c r="AX948" s="148"/>
      <c r="AY948" s="148"/>
      <c r="AZ948" s="148"/>
    </row>
    <row r="949" spans="20:52" x14ac:dyDescent="0.45">
      <c r="T949" s="148"/>
      <c r="U949" s="148"/>
      <c r="V949" s="148"/>
      <c r="W949" s="148"/>
      <c r="X949" s="148"/>
      <c r="Y949" s="148"/>
      <c r="Z949" s="148"/>
      <c r="AA949" s="148"/>
      <c r="AB949" s="148"/>
      <c r="AC949" s="148"/>
      <c r="AD949" s="148"/>
      <c r="AE949" s="148"/>
      <c r="AF949" s="148"/>
      <c r="AG949" s="148"/>
      <c r="AH949" s="148"/>
      <c r="AI949" s="148"/>
      <c r="AJ949" s="148"/>
      <c r="AK949" s="148"/>
      <c r="AL949" s="148"/>
      <c r="AM949" s="148"/>
      <c r="AN949" s="148"/>
      <c r="AO949" s="148"/>
      <c r="AP949" s="148"/>
      <c r="AQ949" s="148"/>
      <c r="AR949" s="148"/>
      <c r="AS949" s="148"/>
      <c r="AT949" s="148"/>
      <c r="AU949" s="148"/>
      <c r="AV949" s="148"/>
      <c r="AW949" s="148"/>
      <c r="AX949" s="148"/>
      <c r="AY949" s="148"/>
      <c r="AZ949" s="148"/>
    </row>
    <row r="950" spans="20:52" x14ac:dyDescent="0.45">
      <c r="T950" s="148"/>
      <c r="U950" s="148"/>
      <c r="V950" s="148"/>
      <c r="W950" s="148"/>
      <c r="X950" s="148"/>
      <c r="Y950" s="148"/>
      <c r="Z950" s="148"/>
      <c r="AA950" s="148"/>
      <c r="AB950" s="148"/>
      <c r="AC950" s="148"/>
      <c r="AD950" s="148"/>
      <c r="AE950" s="148"/>
      <c r="AF950" s="148"/>
      <c r="AG950" s="148"/>
      <c r="AH950" s="148"/>
      <c r="AI950" s="148"/>
      <c r="AJ950" s="148"/>
      <c r="AK950" s="148"/>
      <c r="AL950" s="148"/>
      <c r="AM950" s="148"/>
      <c r="AN950" s="148"/>
      <c r="AO950" s="148"/>
      <c r="AP950" s="148"/>
      <c r="AQ950" s="148"/>
      <c r="AR950" s="148"/>
      <c r="AS950" s="148"/>
      <c r="AT950" s="148"/>
      <c r="AU950" s="148"/>
      <c r="AV950" s="148"/>
      <c r="AW950" s="148"/>
      <c r="AX950" s="148"/>
      <c r="AY950" s="148"/>
      <c r="AZ950" s="148"/>
    </row>
    <row r="951" spans="20:52" x14ac:dyDescent="0.45">
      <c r="T951" s="148"/>
      <c r="U951" s="148"/>
      <c r="V951" s="148"/>
      <c r="W951" s="148"/>
      <c r="X951" s="148"/>
      <c r="Y951" s="148"/>
      <c r="Z951" s="148"/>
      <c r="AA951" s="148"/>
      <c r="AB951" s="148"/>
      <c r="AC951" s="148"/>
      <c r="AD951" s="148"/>
      <c r="AE951" s="148"/>
      <c r="AF951" s="148"/>
      <c r="AG951" s="148"/>
      <c r="AH951" s="148"/>
      <c r="AI951" s="148"/>
      <c r="AJ951" s="148"/>
      <c r="AK951" s="148"/>
      <c r="AL951" s="148"/>
      <c r="AM951" s="148"/>
      <c r="AN951" s="148"/>
      <c r="AO951" s="148"/>
      <c r="AP951" s="148"/>
      <c r="AQ951" s="148"/>
      <c r="AR951" s="148"/>
      <c r="AS951" s="148"/>
      <c r="AT951" s="148"/>
      <c r="AU951" s="148"/>
      <c r="AV951" s="148"/>
      <c r="AW951" s="148"/>
      <c r="AX951" s="148"/>
      <c r="AY951" s="148"/>
      <c r="AZ951" s="148"/>
    </row>
    <row r="952" spans="20:52" x14ac:dyDescent="0.45">
      <c r="T952" s="148"/>
      <c r="U952" s="148"/>
      <c r="V952" s="148"/>
      <c r="W952" s="148"/>
      <c r="X952" s="148"/>
      <c r="Y952" s="148"/>
      <c r="Z952" s="148"/>
      <c r="AA952" s="148"/>
      <c r="AB952" s="148"/>
      <c r="AC952" s="148"/>
      <c r="AD952" s="148"/>
      <c r="AE952" s="148"/>
      <c r="AF952" s="148"/>
      <c r="AG952" s="148"/>
      <c r="AH952" s="148"/>
      <c r="AI952" s="148"/>
      <c r="AJ952" s="148"/>
      <c r="AK952" s="148"/>
      <c r="AL952" s="148"/>
      <c r="AM952" s="148"/>
      <c r="AN952" s="148"/>
      <c r="AO952" s="148"/>
      <c r="AP952" s="148"/>
      <c r="AQ952" s="148"/>
      <c r="AR952" s="148"/>
      <c r="AS952" s="148"/>
      <c r="AT952" s="148"/>
      <c r="AU952" s="148"/>
      <c r="AV952" s="148"/>
      <c r="AW952" s="148"/>
      <c r="AX952" s="148"/>
      <c r="AY952" s="148"/>
      <c r="AZ952" s="148"/>
    </row>
    <row r="953" spans="20:52" x14ac:dyDescent="0.45">
      <c r="T953" s="148"/>
      <c r="U953" s="148"/>
      <c r="V953" s="148"/>
      <c r="W953" s="148"/>
      <c r="X953" s="148"/>
      <c r="Y953" s="148"/>
      <c r="Z953" s="148"/>
      <c r="AA953" s="148"/>
      <c r="AB953" s="148"/>
      <c r="AC953" s="148"/>
      <c r="AD953" s="148"/>
      <c r="AE953" s="148"/>
      <c r="AF953" s="148"/>
      <c r="AG953" s="148"/>
      <c r="AH953" s="148"/>
      <c r="AI953" s="148"/>
      <c r="AJ953" s="148"/>
      <c r="AK953" s="148"/>
      <c r="AL953" s="148"/>
      <c r="AM953" s="148"/>
      <c r="AN953" s="148"/>
      <c r="AO953" s="148"/>
      <c r="AP953" s="148"/>
      <c r="AQ953" s="148"/>
      <c r="AR953" s="148"/>
      <c r="AS953" s="148"/>
      <c r="AT953" s="148"/>
      <c r="AU953" s="148"/>
      <c r="AV953" s="148"/>
      <c r="AW953" s="148"/>
      <c r="AX953" s="148"/>
      <c r="AY953" s="148"/>
      <c r="AZ953" s="148"/>
    </row>
    <row r="954" spans="20:52" x14ac:dyDescent="0.45">
      <c r="T954" s="148"/>
      <c r="U954" s="148"/>
      <c r="V954" s="148"/>
      <c r="W954" s="148"/>
      <c r="X954" s="148"/>
      <c r="Y954" s="148"/>
      <c r="Z954" s="148"/>
      <c r="AA954" s="148"/>
      <c r="AB954" s="148"/>
      <c r="AC954" s="148"/>
      <c r="AD954" s="148"/>
      <c r="AE954" s="148"/>
      <c r="AF954" s="148"/>
      <c r="AG954" s="148"/>
      <c r="AH954" s="148"/>
      <c r="AI954" s="148"/>
      <c r="AJ954" s="148"/>
      <c r="AK954" s="148"/>
      <c r="AL954" s="148"/>
      <c r="AM954" s="148"/>
      <c r="AN954" s="148"/>
      <c r="AO954" s="148"/>
      <c r="AP954" s="148"/>
      <c r="AQ954" s="148"/>
      <c r="AR954" s="148"/>
      <c r="AS954" s="148"/>
      <c r="AT954" s="148"/>
      <c r="AU954" s="148"/>
      <c r="AV954" s="148"/>
      <c r="AW954" s="148"/>
      <c r="AX954" s="148"/>
      <c r="AY954" s="148"/>
      <c r="AZ954" s="148"/>
    </row>
    <row r="955" spans="20:52" x14ac:dyDescent="0.45">
      <c r="T955" s="148"/>
      <c r="U955" s="148"/>
      <c r="V955" s="148"/>
      <c r="W955" s="148"/>
      <c r="X955" s="148"/>
      <c r="Y955" s="148"/>
      <c r="Z955" s="148"/>
      <c r="AA955" s="148"/>
      <c r="AB955" s="148"/>
      <c r="AC955" s="148"/>
      <c r="AD955" s="148"/>
      <c r="AE955" s="148"/>
      <c r="AF955" s="148"/>
      <c r="AG955" s="148"/>
      <c r="AH955" s="148"/>
      <c r="AI955" s="148"/>
      <c r="AJ955" s="148"/>
      <c r="AK955" s="148"/>
      <c r="AL955" s="148"/>
      <c r="AM955" s="148"/>
      <c r="AN955" s="148"/>
      <c r="AO955" s="148"/>
      <c r="AP955" s="148"/>
      <c r="AQ955" s="148"/>
      <c r="AR955" s="148"/>
      <c r="AS955" s="148"/>
      <c r="AT955" s="148"/>
      <c r="AU955" s="148"/>
      <c r="AV955" s="148"/>
      <c r="AW955" s="148"/>
      <c r="AX955" s="148"/>
      <c r="AY955" s="148"/>
      <c r="AZ955" s="148"/>
    </row>
    <row r="956" spans="20:52" x14ac:dyDescent="0.45">
      <c r="T956" s="148"/>
      <c r="U956" s="148"/>
      <c r="V956" s="148"/>
      <c r="W956" s="148"/>
      <c r="X956" s="148"/>
      <c r="Y956" s="148"/>
      <c r="Z956" s="148"/>
      <c r="AA956" s="148"/>
      <c r="AB956" s="148"/>
      <c r="AC956" s="148"/>
      <c r="AD956" s="148"/>
      <c r="AE956" s="148"/>
      <c r="AF956" s="148"/>
      <c r="AG956" s="148"/>
      <c r="AH956" s="148"/>
      <c r="AI956" s="148"/>
      <c r="AJ956" s="148"/>
      <c r="AK956" s="148"/>
      <c r="AL956" s="148"/>
      <c r="AM956" s="148"/>
      <c r="AN956" s="148"/>
      <c r="AO956" s="148"/>
      <c r="AP956" s="148"/>
      <c r="AQ956" s="148"/>
      <c r="AR956" s="148"/>
      <c r="AS956" s="148"/>
      <c r="AT956" s="148"/>
      <c r="AU956" s="148"/>
      <c r="AV956" s="148"/>
      <c r="AW956" s="148"/>
      <c r="AX956" s="148"/>
      <c r="AY956" s="148"/>
      <c r="AZ956" s="148"/>
    </row>
    <row r="957" spans="20:52" x14ac:dyDescent="0.45">
      <c r="T957" s="148"/>
      <c r="U957" s="148"/>
      <c r="V957" s="148"/>
      <c r="W957" s="148"/>
      <c r="X957" s="148"/>
      <c r="Y957" s="148"/>
      <c r="Z957" s="148"/>
      <c r="AA957" s="148"/>
      <c r="AB957" s="148"/>
      <c r="AC957" s="148"/>
      <c r="AD957" s="148"/>
      <c r="AE957" s="148"/>
      <c r="AF957" s="148"/>
      <c r="AG957" s="148"/>
      <c r="AH957" s="148"/>
      <c r="AI957" s="148"/>
      <c r="AJ957" s="148"/>
      <c r="AK957" s="148"/>
      <c r="AL957" s="148"/>
      <c r="AM957" s="148"/>
      <c r="AN957" s="148"/>
      <c r="AO957" s="148"/>
      <c r="AP957" s="148"/>
      <c r="AQ957" s="148"/>
      <c r="AR957" s="148"/>
      <c r="AS957" s="148"/>
      <c r="AT957" s="148"/>
      <c r="AU957" s="148"/>
      <c r="AV957" s="148"/>
      <c r="AW957" s="148"/>
      <c r="AX957" s="148"/>
      <c r="AY957" s="148"/>
      <c r="AZ957" s="148"/>
    </row>
    <row r="958" spans="20:52" x14ac:dyDescent="0.45">
      <c r="T958" s="148"/>
      <c r="U958" s="148"/>
      <c r="V958" s="148"/>
      <c r="W958" s="148"/>
      <c r="X958" s="148"/>
      <c r="Y958" s="148"/>
      <c r="Z958" s="148"/>
      <c r="AA958" s="148"/>
      <c r="AB958" s="148"/>
      <c r="AC958" s="148"/>
      <c r="AD958" s="148"/>
      <c r="AE958" s="148"/>
      <c r="AF958" s="148"/>
      <c r="AG958" s="148"/>
      <c r="AH958" s="148"/>
      <c r="AI958" s="148"/>
      <c r="AJ958" s="148"/>
      <c r="AK958" s="148"/>
      <c r="AL958" s="148"/>
      <c r="AM958" s="148"/>
      <c r="AN958" s="148"/>
      <c r="AO958" s="148"/>
      <c r="AP958" s="148"/>
      <c r="AQ958" s="148"/>
      <c r="AR958" s="148"/>
      <c r="AS958" s="148"/>
      <c r="AT958" s="148"/>
      <c r="AU958" s="148"/>
      <c r="AV958" s="148"/>
      <c r="AW958" s="148"/>
      <c r="AX958" s="148"/>
      <c r="AY958" s="148"/>
      <c r="AZ958" s="148"/>
    </row>
    <row r="959" spans="20:52" x14ac:dyDescent="0.45">
      <c r="T959" s="148"/>
      <c r="U959" s="148"/>
      <c r="V959" s="148"/>
      <c r="W959" s="148"/>
      <c r="X959" s="148"/>
      <c r="Y959" s="148"/>
      <c r="Z959" s="148"/>
      <c r="AA959" s="148"/>
      <c r="AB959" s="148"/>
      <c r="AC959" s="148"/>
      <c r="AD959" s="148"/>
      <c r="AE959" s="148"/>
      <c r="AF959" s="148"/>
      <c r="AG959" s="148"/>
      <c r="AH959" s="148"/>
      <c r="AI959" s="148"/>
      <c r="AJ959" s="148"/>
      <c r="AK959" s="148"/>
      <c r="AL959" s="148"/>
      <c r="AM959" s="148"/>
      <c r="AN959" s="148"/>
      <c r="AO959" s="148"/>
      <c r="AP959" s="148"/>
      <c r="AQ959" s="148"/>
      <c r="AR959" s="148"/>
      <c r="AS959" s="148"/>
      <c r="AT959" s="148"/>
      <c r="AU959" s="148"/>
      <c r="AV959" s="148"/>
      <c r="AW959" s="148"/>
      <c r="AX959" s="148"/>
      <c r="AY959" s="148"/>
      <c r="AZ959" s="148"/>
    </row>
    <row r="960" spans="20:52" x14ac:dyDescent="0.45">
      <c r="T960" s="148"/>
      <c r="U960" s="148"/>
      <c r="V960" s="148"/>
      <c r="W960" s="148"/>
      <c r="X960" s="148"/>
      <c r="Y960" s="148"/>
      <c r="Z960" s="148"/>
      <c r="AA960" s="148"/>
      <c r="AB960" s="148"/>
      <c r="AC960" s="148"/>
      <c r="AD960" s="148"/>
      <c r="AE960" s="148"/>
      <c r="AF960" s="148"/>
      <c r="AG960" s="148"/>
      <c r="AH960" s="148"/>
      <c r="AI960" s="148"/>
      <c r="AJ960" s="148"/>
      <c r="AK960" s="148"/>
      <c r="AL960" s="148"/>
      <c r="AM960" s="148"/>
      <c r="AN960" s="148"/>
      <c r="AO960" s="148"/>
      <c r="AP960" s="148"/>
      <c r="AQ960" s="148"/>
      <c r="AR960" s="148"/>
      <c r="AS960" s="148"/>
      <c r="AT960" s="148"/>
      <c r="AU960" s="148"/>
      <c r="AV960" s="148"/>
      <c r="AW960" s="148"/>
      <c r="AX960" s="148"/>
      <c r="AY960" s="148"/>
      <c r="AZ960" s="148"/>
    </row>
    <row r="961" spans="20:52" x14ac:dyDescent="0.45">
      <c r="T961" s="148"/>
      <c r="U961" s="148"/>
      <c r="V961" s="148"/>
      <c r="W961" s="148"/>
      <c r="X961" s="148"/>
      <c r="Y961" s="148"/>
      <c r="Z961" s="148"/>
      <c r="AA961" s="148"/>
      <c r="AB961" s="148"/>
      <c r="AC961" s="148"/>
      <c r="AD961" s="148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 s="148"/>
      <c r="AP961" s="148"/>
      <c r="AQ961" s="148"/>
      <c r="AR961" s="148"/>
      <c r="AS961" s="148"/>
      <c r="AT961" s="148"/>
      <c r="AU961" s="148"/>
      <c r="AV961" s="148"/>
      <c r="AW961" s="148"/>
      <c r="AX961" s="148"/>
      <c r="AY961" s="148"/>
      <c r="AZ961" s="148"/>
    </row>
    <row r="962" spans="20:52" x14ac:dyDescent="0.45">
      <c r="T962" s="148"/>
      <c r="U962" s="148"/>
      <c r="V962" s="148"/>
      <c r="W962" s="148"/>
      <c r="X962" s="148"/>
      <c r="Y962" s="148"/>
      <c r="Z962" s="148"/>
      <c r="AA962" s="148"/>
      <c r="AB962" s="148"/>
      <c r="AC962" s="148"/>
      <c r="AD962" s="148"/>
      <c r="AE962" s="148"/>
      <c r="AF962" s="148"/>
      <c r="AG962" s="148"/>
      <c r="AH962" s="148"/>
      <c r="AI962" s="148"/>
      <c r="AJ962" s="148"/>
      <c r="AK962" s="148"/>
      <c r="AL962" s="148"/>
      <c r="AM962" s="148"/>
      <c r="AN962" s="148"/>
      <c r="AO962" s="148"/>
      <c r="AP962" s="148"/>
      <c r="AQ962" s="148"/>
      <c r="AR962" s="148"/>
      <c r="AS962" s="148"/>
      <c r="AT962" s="148"/>
      <c r="AU962" s="148"/>
      <c r="AV962" s="148"/>
      <c r="AW962" s="148"/>
      <c r="AX962" s="148"/>
      <c r="AY962" s="148"/>
      <c r="AZ962" s="148"/>
    </row>
    <row r="963" spans="20:52" x14ac:dyDescent="0.45">
      <c r="T963" s="148"/>
      <c r="U963" s="148"/>
      <c r="V963" s="148"/>
      <c r="W963" s="148"/>
      <c r="X963" s="148"/>
      <c r="Y963" s="148"/>
      <c r="Z963" s="148"/>
      <c r="AA963" s="148"/>
      <c r="AB963" s="148"/>
      <c r="AC963" s="148"/>
      <c r="AD963" s="148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 s="148"/>
      <c r="AP963" s="148"/>
      <c r="AQ963" s="148"/>
      <c r="AR963" s="148"/>
      <c r="AS963" s="148"/>
      <c r="AT963" s="148"/>
      <c r="AU963" s="148"/>
      <c r="AV963" s="148"/>
      <c r="AW963" s="148"/>
      <c r="AX963" s="148"/>
      <c r="AY963" s="148"/>
      <c r="AZ963" s="148"/>
    </row>
    <row r="964" spans="20:52" x14ac:dyDescent="0.45">
      <c r="T964" s="148"/>
      <c r="U964" s="148"/>
      <c r="V964" s="148"/>
      <c r="W964" s="148"/>
      <c r="X964" s="148"/>
      <c r="Y964" s="148"/>
      <c r="Z964" s="148"/>
      <c r="AA964" s="148"/>
      <c r="AB964" s="148"/>
      <c r="AC964" s="148"/>
      <c r="AD964" s="148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X964" s="148"/>
      <c r="AY964" s="148"/>
      <c r="AZ964" s="148"/>
    </row>
    <row r="965" spans="20:52" x14ac:dyDescent="0.45">
      <c r="T965" s="148"/>
      <c r="U965" s="148"/>
      <c r="V965" s="148"/>
      <c r="W965" s="148"/>
      <c r="X965" s="148"/>
      <c r="Y965" s="148"/>
      <c r="Z965" s="148"/>
      <c r="AA965" s="148"/>
      <c r="AB965" s="148"/>
      <c r="AC965" s="148"/>
      <c r="AD965" s="148"/>
      <c r="AE965" s="148"/>
      <c r="AF965" s="148"/>
      <c r="AG965" s="148"/>
      <c r="AH965" s="148"/>
      <c r="AI965" s="148"/>
      <c r="AJ965" s="148"/>
      <c r="AK965" s="148"/>
      <c r="AL965" s="148"/>
      <c r="AM965" s="148"/>
      <c r="AN965" s="148"/>
      <c r="AO965" s="148"/>
      <c r="AP965" s="148"/>
      <c r="AQ965" s="148"/>
      <c r="AR965" s="148"/>
      <c r="AS965" s="148"/>
      <c r="AT965" s="148"/>
      <c r="AU965" s="148"/>
      <c r="AV965" s="148"/>
      <c r="AW965" s="148"/>
      <c r="AX965" s="148"/>
      <c r="AY965" s="148"/>
      <c r="AZ965" s="148"/>
    </row>
    <row r="966" spans="20:52" x14ac:dyDescent="0.45">
      <c r="T966" s="148"/>
      <c r="U966" s="148"/>
      <c r="V966" s="148"/>
      <c r="W966" s="148"/>
      <c r="X966" s="148"/>
      <c r="Y966" s="148"/>
      <c r="Z966" s="148"/>
      <c r="AA966" s="148"/>
      <c r="AB966" s="148"/>
      <c r="AC966" s="148"/>
      <c r="AD966" s="148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X966" s="148"/>
      <c r="AY966" s="148"/>
      <c r="AZ966" s="148"/>
    </row>
    <row r="967" spans="20:52" x14ac:dyDescent="0.45">
      <c r="T967" s="148"/>
      <c r="U967" s="148"/>
      <c r="V967" s="148"/>
      <c r="W967" s="148"/>
      <c r="X967" s="148"/>
      <c r="Y967" s="148"/>
      <c r="Z967" s="148"/>
      <c r="AA967" s="148"/>
      <c r="AB967" s="148"/>
      <c r="AC967" s="148"/>
      <c r="AD967" s="148"/>
      <c r="AE967" s="148"/>
      <c r="AF967" s="148"/>
      <c r="AG967" s="148"/>
      <c r="AH967" s="148"/>
      <c r="AI967" s="148"/>
      <c r="AJ967" s="148"/>
      <c r="AK967" s="148"/>
      <c r="AL967" s="148"/>
      <c r="AM967" s="148"/>
      <c r="AN967" s="148"/>
      <c r="AO967" s="148"/>
      <c r="AP967" s="148"/>
      <c r="AQ967" s="148"/>
      <c r="AR967" s="148"/>
      <c r="AS967" s="148"/>
      <c r="AT967" s="148"/>
      <c r="AU967" s="148"/>
      <c r="AV967" s="148"/>
      <c r="AW967" s="148"/>
      <c r="AX967" s="148"/>
      <c r="AY967" s="148"/>
      <c r="AZ967" s="148"/>
    </row>
    <row r="968" spans="20:52" x14ac:dyDescent="0.45">
      <c r="T968" s="148"/>
      <c r="U968" s="148"/>
      <c r="V968" s="148"/>
      <c r="W968" s="148"/>
      <c r="X968" s="148"/>
      <c r="Y968" s="148"/>
      <c r="Z968" s="148"/>
      <c r="AA968" s="148"/>
      <c r="AB968" s="148"/>
      <c r="AC968" s="148"/>
      <c r="AD968" s="148"/>
      <c r="AE968" s="148"/>
      <c r="AF968" s="148"/>
      <c r="AG968" s="148"/>
      <c r="AH968" s="148"/>
      <c r="AI968" s="148"/>
      <c r="AJ968" s="148"/>
      <c r="AK968" s="148"/>
      <c r="AL968" s="148"/>
      <c r="AM968" s="148"/>
      <c r="AN968" s="148"/>
      <c r="AO968" s="148"/>
      <c r="AP968" s="148"/>
      <c r="AQ968" s="148"/>
      <c r="AR968" s="148"/>
      <c r="AS968" s="148"/>
      <c r="AT968" s="148"/>
      <c r="AU968" s="148"/>
      <c r="AV968" s="148"/>
      <c r="AW968" s="148"/>
      <c r="AX968" s="148"/>
      <c r="AY968" s="148"/>
      <c r="AZ968" s="148"/>
    </row>
    <row r="969" spans="20:52" x14ac:dyDescent="0.45">
      <c r="T969" s="148"/>
      <c r="U969" s="148"/>
      <c r="V969" s="148"/>
      <c r="W969" s="148"/>
      <c r="X969" s="148"/>
      <c r="Y969" s="148"/>
      <c r="Z969" s="148"/>
      <c r="AA969" s="148"/>
      <c r="AB969" s="148"/>
      <c r="AC969" s="148"/>
      <c r="AD969" s="148"/>
      <c r="AE969" s="148"/>
      <c r="AF969" s="148"/>
      <c r="AG969" s="148"/>
      <c r="AH969" s="148"/>
      <c r="AI969" s="148"/>
      <c r="AJ969" s="148"/>
      <c r="AK969" s="148"/>
      <c r="AL969" s="148"/>
      <c r="AM969" s="148"/>
      <c r="AN969" s="148"/>
      <c r="AO969" s="148"/>
      <c r="AP969" s="148"/>
      <c r="AQ969" s="148"/>
      <c r="AR969" s="148"/>
      <c r="AS969" s="148"/>
      <c r="AT969" s="148"/>
      <c r="AU969" s="148"/>
      <c r="AV969" s="148"/>
      <c r="AW969" s="148"/>
      <c r="AX969" s="148"/>
      <c r="AY969" s="148"/>
      <c r="AZ969" s="148"/>
    </row>
    <row r="970" spans="20:52" x14ac:dyDescent="0.45">
      <c r="T970" s="148"/>
      <c r="U970" s="148"/>
      <c r="V970" s="148"/>
      <c r="W970" s="148"/>
      <c r="X970" s="148"/>
      <c r="Y970" s="148"/>
      <c r="Z970" s="148"/>
      <c r="AA970" s="148"/>
      <c r="AB970" s="148"/>
      <c r="AC970" s="148"/>
      <c r="AD970" s="148"/>
      <c r="AE970" s="148"/>
      <c r="AF970" s="148"/>
      <c r="AG970" s="148"/>
      <c r="AH970" s="148"/>
      <c r="AI970" s="148"/>
      <c r="AJ970" s="148"/>
      <c r="AK970" s="148"/>
      <c r="AL970" s="148"/>
      <c r="AM970" s="148"/>
      <c r="AN970" s="148"/>
      <c r="AO970" s="148"/>
      <c r="AP970" s="148"/>
      <c r="AQ970" s="148"/>
      <c r="AR970" s="148"/>
      <c r="AS970" s="148"/>
      <c r="AT970" s="148"/>
      <c r="AU970" s="148"/>
      <c r="AV970" s="148"/>
      <c r="AW970" s="148"/>
      <c r="AX970" s="148"/>
      <c r="AY970" s="148"/>
      <c r="AZ970" s="148"/>
    </row>
    <row r="971" spans="20:52" x14ac:dyDescent="0.45">
      <c r="T971" s="148"/>
      <c r="U971" s="148"/>
      <c r="V971" s="148"/>
      <c r="W971" s="148"/>
      <c r="X971" s="148"/>
      <c r="Y971" s="148"/>
      <c r="Z971" s="148"/>
      <c r="AA971" s="148"/>
      <c r="AB971" s="148"/>
      <c r="AC971" s="148"/>
      <c r="AD971" s="148"/>
      <c r="AE971" s="148"/>
      <c r="AF971" s="148"/>
      <c r="AG971" s="148"/>
      <c r="AH971" s="148"/>
      <c r="AI971" s="148"/>
      <c r="AJ971" s="148"/>
      <c r="AK971" s="148"/>
      <c r="AL971" s="148"/>
      <c r="AM971" s="148"/>
      <c r="AN971" s="148"/>
      <c r="AO971" s="148"/>
      <c r="AP971" s="148"/>
      <c r="AQ971" s="148"/>
      <c r="AR971" s="148"/>
      <c r="AS971" s="148"/>
      <c r="AT971" s="148"/>
      <c r="AU971" s="148"/>
      <c r="AV971" s="148"/>
      <c r="AW971" s="148"/>
      <c r="AX971" s="148"/>
      <c r="AY971" s="148"/>
      <c r="AZ971" s="148"/>
    </row>
    <row r="972" spans="20:52" x14ac:dyDescent="0.45">
      <c r="T972" s="148"/>
      <c r="U972" s="148"/>
      <c r="V972" s="148"/>
      <c r="W972" s="148"/>
      <c r="X972" s="148"/>
      <c r="Y972" s="148"/>
      <c r="Z972" s="148"/>
      <c r="AA972" s="148"/>
      <c r="AB972" s="148"/>
      <c r="AC972" s="148"/>
      <c r="AD972" s="148"/>
      <c r="AE972" s="148"/>
      <c r="AF972" s="148"/>
      <c r="AG972" s="148"/>
      <c r="AH972" s="148"/>
      <c r="AI972" s="148"/>
      <c r="AJ972" s="148"/>
      <c r="AK972" s="148"/>
      <c r="AL972" s="148"/>
      <c r="AM972" s="148"/>
      <c r="AN972" s="148"/>
      <c r="AO972" s="148"/>
      <c r="AP972" s="148"/>
      <c r="AQ972" s="148"/>
      <c r="AR972" s="148"/>
      <c r="AS972" s="148"/>
      <c r="AT972" s="148"/>
      <c r="AU972" s="148"/>
      <c r="AV972" s="148"/>
      <c r="AW972" s="148"/>
      <c r="AX972" s="148"/>
      <c r="AY972" s="148"/>
      <c r="AZ972" s="148"/>
    </row>
    <row r="973" spans="20:52" x14ac:dyDescent="0.45">
      <c r="T973" s="148"/>
      <c r="U973" s="148"/>
      <c r="V973" s="148"/>
      <c r="W973" s="148"/>
      <c r="X973" s="148"/>
      <c r="Y973" s="148"/>
      <c r="Z973" s="148"/>
      <c r="AA973" s="148"/>
      <c r="AB973" s="148"/>
      <c r="AC973" s="148"/>
      <c r="AD973" s="148"/>
      <c r="AE973" s="148"/>
      <c r="AF973" s="148"/>
      <c r="AG973" s="148"/>
      <c r="AH973" s="148"/>
      <c r="AI973" s="148"/>
      <c r="AJ973" s="148"/>
      <c r="AK973" s="148"/>
      <c r="AL973" s="148"/>
      <c r="AM973" s="148"/>
      <c r="AN973" s="148"/>
      <c r="AO973" s="148"/>
      <c r="AP973" s="148"/>
      <c r="AQ973" s="148"/>
      <c r="AR973" s="148"/>
      <c r="AS973" s="148"/>
      <c r="AT973" s="148"/>
      <c r="AU973" s="148"/>
      <c r="AV973" s="148"/>
      <c r="AW973" s="148"/>
      <c r="AX973" s="148"/>
      <c r="AY973" s="148"/>
      <c r="AZ973" s="148"/>
    </row>
    <row r="974" spans="20:52" x14ac:dyDescent="0.45">
      <c r="T974" s="148"/>
      <c r="U974" s="148"/>
      <c r="V974" s="148"/>
      <c r="W974" s="148"/>
      <c r="X974" s="148"/>
      <c r="Y974" s="148"/>
      <c r="Z974" s="148"/>
      <c r="AA974" s="148"/>
      <c r="AB974" s="148"/>
      <c r="AC974" s="148"/>
      <c r="AD974" s="148"/>
      <c r="AE974" s="148"/>
      <c r="AF974" s="148"/>
      <c r="AG974" s="148"/>
      <c r="AH974" s="148"/>
      <c r="AI974" s="148"/>
      <c r="AJ974" s="148"/>
      <c r="AK974" s="148"/>
      <c r="AL974" s="148"/>
      <c r="AM974" s="148"/>
      <c r="AN974" s="148"/>
      <c r="AO974" s="148"/>
      <c r="AP974" s="148"/>
      <c r="AQ974" s="148"/>
      <c r="AR974" s="148"/>
      <c r="AS974" s="148"/>
      <c r="AT974" s="148"/>
      <c r="AU974" s="148"/>
      <c r="AV974" s="148"/>
      <c r="AW974" s="148"/>
      <c r="AX974" s="148"/>
      <c r="AY974" s="148"/>
      <c r="AZ974" s="148"/>
    </row>
    <row r="975" spans="20:52" x14ac:dyDescent="0.45">
      <c r="T975" s="148"/>
      <c r="U975" s="148"/>
      <c r="V975" s="148"/>
      <c r="W975" s="148"/>
      <c r="X975" s="148"/>
      <c r="Y975" s="148"/>
      <c r="Z975" s="148"/>
      <c r="AA975" s="148"/>
      <c r="AB975" s="148"/>
      <c r="AC975" s="148"/>
      <c r="AD975" s="148"/>
      <c r="AE975" s="148"/>
      <c r="AF975" s="148"/>
      <c r="AG975" s="148"/>
      <c r="AH975" s="148"/>
      <c r="AI975" s="148"/>
      <c r="AJ975" s="148"/>
      <c r="AK975" s="148"/>
      <c r="AL975" s="148"/>
      <c r="AM975" s="148"/>
      <c r="AN975" s="148"/>
      <c r="AO975" s="148"/>
      <c r="AP975" s="148"/>
      <c r="AQ975" s="148"/>
      <c r="AR975" s="148"/>
      <c r="AS975" s="148"/>
      <c r="AT975" s="148"/>
      <c r="AU975" s="148"/>
      <c r="AV975" s="148"/>
      <c r="AW975" s="148"/>
      <c r="AX975" s="148"/>
      <c r="AY975" s="148"/>
      <c r="AZ975" s="148"/>
    </row>
    <row r="976" spans="20:52" x14ac:dyDescent="0.45">
      <c r="T976" s="148"/>
      <c r="U976" s="148"/>
      <c r="V976" s="148"/>
      <c r="W976" s="148"/>
      <c r="X976" s="148"/>
      <c r="Y976" s="148"/>
      <c r="Z976" s="148"/>
      <c r="AA976" s="148"/>
      <c r="AB976" s="148"/>
      <c r="AC976" s="148"/>
      <c r="AD976" s="148"/>
      <c r="AE976" s="148"/>
      <c r="AF976" s="148"/>
      <c r="AG976" s="148"/>
      <c r="AH976" s="148"/>
      <c r="AI976" s="148"/>
      <c r="AJ976" s="148"/>
      <c r="AK976" s="148"/>
      <c r="AL976" s="148"/>
      <c r="AM976" s="148"/>
      <c r="AN976" s="148"/>
      <c r="AO976" s="148"/>
      <c r="AP976" s="148"/>
      <c r="AQ976" s="148"/>
      <c r="AR976" s="148"/>
      <c r="AS976" s="148"/>
      <c r="AT976" s="148"/>
      <c r="AU976" s="148"/>
      <c r="AV976" s="148"/>
      <c r="AW976" s="148"/>
      <c r="AX976" s="148"/>
      <c r="AY976" s="148"/>
      <c r="AZ976" s="148"/>
    </row>
    <row r="977" spans="20:52" x14ac:dyDescent="0.45">
      <c r="T977" s="148"/>
      <c r="U977" s="148"/>
      <c r="V977" s="148"/>
      <c r="W977" s="148"/>
      <c r="X977" s="148"/>
      <c r="Y977" s="148"/>
      <c r="Z977" s="148"/>
      <c r="AA977" s="148"/>
      <c r="AB977" s="148"/>
      <c r="AC977" s="148"/>
      <c r="AD977" s="148"/>
      <c r="AE977" s="148"/>
      <c r="AF977" s="148"/>
      <c r="AG977" s="148"/>
      <c r="AH977" s="148"/>
      <c r="AI977" s="148"/>
      <c r="AJ977" s="148"/>
      <c r="AK977" s="148"/>
      <c r="AL977" s="148"/>
      <c r="AM977" s="148"/>
      <c r="AN977" s="148"/>
      <c r="AO977" s="148"/>
      <c r="AP977" s="148"/>
      <c r="AQ977" s="148"/>
      <c r="AR977" s="148"/>
      <c r="AS977" s="148"/>
      <c r="AT977" s="148"/>
      <c r="AU977" s="148"/>
      <c r="AV977" s="148"/>
      <c r="AW977" s="148"/>
      <c r="AX977" s="148"/>
      <c r="AY977" s="148"/>
      <c r="AZ977" s="148"/>
    </row>
    <row r="978" spans="20:52" x14ac:dyDescent="0.45">
      <c r="T978" s="148"/>
      <c r="U978" s="148"/>
      <c r="V978" s="148"/>
      <c r="W978" s="148"/>
      <c r="X978" s="148"/>
      <c r="Y978" s="148"/>
      <c r="Z978" s="148"/>
      <c r="AA978" s="148"/>
      <c r="AB978" s="148"/>
      <c r="AC978" s="148"/>
      <c r="AD978" s="148"/>
      <c r="AE978" s="148"/>
      <c r="AF978" s="148"/>
      <c r="AG978" s="148"/>
      <c r="AH978" s="148"/>
      <c r="AI978" s="148"/>
      <c r="AJ978" s="148"/>
      <c r="AK978" s="148"/>
      <c r="AL978" s="148"/>
      <c r="AM978" s="148"/>
      <c r="AN978" s="148"/>
      <c r="AO978" s="148"/>
      <c r="AP978" s="148"/>
      <c r="AQ978" s="148"/>
      <c r="AR978" s="148"/>
      <c r="AS978" s="148"/>
      <c r="AT978" s="148"/>
      <c r="AU978" s="148"/>
      <c r="AV978" s="148"/>
      <c r="AW978" s="148"/>
      <c r="AX978" s="148"/>
      <c r="AY978" s="148"/>
      <c r="AZ978" s="148"/>
    </row>
    <row r="979" spans="20:52" x14ac:dyDescent="0.45">
      <c r="T979" s="148"/>
      <c r="U979" s="148"/>
      <c r="V979" s="148"/>
      <c r="W979" s="148"/>
      <c r="X979" s="148"/>
      <c r="Y979" s="148"/>
      <c r="Z979" s="148"/>
      <c r="AA979" s="148"/>
      <c r="AB979" s="148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N979" s="148"/>
      <c r="AO979" s="148"/>
      <c r="AP979" s="148"/>
      <c r="AQ979" s="148"/>
      <c r="AR979" s="148"/>
      <c r="AS979" s="148"/>
      <c r="AT979" s="148"/>
      <c r="AU979" s="148"/>
      <c r="AV979" s="148"/>
      <c r="AW979" s="148"/>
      <c r="AX979" s="148"/>
      <c r="AY979" s="148"/>
      <c r="AZ979" s="148"/>
    </row>
    <row r="980" spans="20:52" x14ac:dyDescent="0.45">
      <c r="T980" s="148"/>
      <c r="U980" s="148"/>
      <c r="V980" s="148"/>
      <c r="W980" s="148"/>
      <c r="X980" s="148"/>
      <c r="Y980" s="148"/>
      <c r="Z980" s="148"/>
      <c r="AA980" s="148"/>
      <c r="AB980" s="148"/>
      <c r="AC980" s="148"/>
      <c r="AD980" s="148"/>
      <c r="AE980" s="148"/>
      <c r="AF980" s="148"/>
      <c r="AG980" s="148"/>
      <c r="AH980" s="148"/>
      <c r="AI980" s="148"/>
      <c r="AJ980" s="148"/>
      <c r="AK980" s="148"/>
      <c r="AL980" s="148"/>
      <c r="AM980" s="148"/>
      <c r="AN980" s="148"/>
      <c r="AO980" s="148"/>
      <c r="AP980" s="148"/>
      <c r="AQ980" s="148"/>
      <c r="AR980" s="148"/>
      <c r="AS980" s="148"/>
      <c r="AT980" s="148"/>
      <c r="AU980" s="148"/>
      <c r="AV980" s="148"/>
      <c r="AW980" s="148"/>
      <c r="AX980" s="148"/>
      <c r="AY980" s="148"/>
      <c r="AZ980" s="148"/>
    </row>
    <row r="981" spans="20:52" x14ac:dyDescent="0.45">
      <c r="T981" s="148"/>
      <c r="U981" s="148"/>
      <c r="V981" s="148"/>
      <c r="W981" s="148"/>
      <c r="X981" s="148"/>
      <c r="Y981" s="148"/>
      <c r="Z981" s="148"/>
      <c r="AA981" s="148"/>
      <c r="AB981" s="148"/>
      <c r="AC981" s="148"/>
      <c r="AD981" s="148"/>
      <c r="AE981" s="148"/>
      <c r="AF981" s="148"/>
      <c r="AG981" s="148"/>
      <c r="AH981" s="148"/>
      <c r="AI981" s="148"/>
      <c r="AJ981" s="148"/>
      <c r="AK981" s="148"/>
      <c r="AL981" s="148"/>
      <c r="AM981" s="148"/>
      <c r="AN981" s="148"/>
      <c r="AO981" s="148"/>
      <c r="AP981" s="148"/>
      <c r="AQ981" s="148"/>
      <c r="AR981" s="148"/>
      <c r="AS981" s="148"/>
      <c r="AT981" s="148"/>
      <c r="AU981" s="148"/>
      <c r="AV981" s="148"/>
      <c r="AW981" s="148"/>
      <c r="AX981" s="148"/>
      <c r="AY981" s="148"/>
      <c r="AZ981" s="148"/>
    </row>
    <row r="982" spans="20:52" x14ac:dyDescent="0.45">
      <c r="T982" s="148"/>
      <c r="U982" s="148"/>
      <c r="V982" s="148"/>
      <c r="W982" s="148"/>
      <c r="X982" s="148"/>
      <c r="Y982" s="148"/>
      <c r="Z982" s="148"/>
      <c r="AA982" s="148"/>
      <c r="AB982" s="148"/>
      <c r="AC982" s="148"/>
      <c r="AD982" s="148"/>
      <c r="AE982" s="148"/>
      <c r="AF982" s="148"/>
      <c r="AG982" s="148"/>
      <c r="AH982" s="148"/>
      <c r="AI982" s="148"/>
      <c r="AJ982" s="148"/>
      <c r="AK982" s="148"/>
      <c r="AL982" s="148"/>
      <c r="AM982" s="148"/>
      <c r="AN982" s="148"/>
      <c r="AO982" s="148"/>
      <c r="AP982" s="148"/>
      <c r="AQ982" s="148"/>
      <c r="AR982" s="148"/>
      <c r="AS982" s="148"/>
      <c r="AT982" s="148"/>
      <c r="AU982" s="148"/>
      <c r="AV982" s="148"/>
      <c r="AW982" s="148"/>
      <c r="AX982" s="148"/>
      <c r="AY982" s="148"/>
      <c r="AZ982" s="148"/>
    </row>
    <row r="983" spans="20:52" x14ac:dyDescent="0.45">
      <c r="T983" s="148"/>
      <c r="U983" s="148"/>
      <c r="V983" s="148"/>
      <c r="W983" s="148"/>
      <c r="X983" s="148"/>
      <c r="Y983" s="148"/>
      <c r="Z983" s="148"/>
      <c r="AA983" s="148"/>
      <c r="AB983" s="148"/>
      <c r="AC983" s="148"/>
      <c r="AD983" s="148"/>
      <c r="AE983" s="148"/>
      <c r="AF983" s="148"/>
      <c r="AG983" s="148"/>
      <c r="AH983" s="148"/>
      <c r="AI983" s="148"/>
      <c r="AJ983" s="148"/>
      <c r="AK983" s="148"/>
      <c r="AL983" s="148"/>
      <c r="AM983" s="148"/>
      <c r="AN983" s="148"/>
      <c r="AO983" s="148"/>
      <c r="AP983" s="148"/>
      <c r="AQ983" s="148"/>
      <c r="AR983" s="148"/>
      <c r="AS983" s="148"/>
      <c r="AT983" s="148"/>
      <c r="AU983" s="148"/>
      <c r="AV983" s="148"/>
      <c r="AW983" s="148"/>
      <c r="AX983" s="148"/>
      <c r="AY983" s="148"/>
      <c r="AZ983" s="148"/>
    </row>
    <row r="984" spans="20:52" x14ac:dyDescent="0.45">
      <c r="T984" s="148"/>
      <c r="U984" s="148"/>
      <c r="V984" s="148"/>
      <c r="W984" s="148"/>
      <c r="X984" s="148"/>
      <c r="Y984" s="148"/>
      <c r="Z984" s="148"/>
      <c r="AA984" s="148"/>
      <c r="AB984" s="148"/>
      <c r="AC984" s="148"/>
      <c r="AD984" s="148"/>
      <c r="AE984" s="148"/>
      <c r="AF984" s="148"/>
      <c r="AG984" s="148"/>
      <c r="AH984" s="148"/>
      <c r="AI984" s="148"/>
      <c r="AJ984" s="148"/>
      <c r="AK984" s="148"/>
      <c r="AL984" s="148"/>
      <c r="AM984" s="148"/>
      <c r="AN984" s="148"/>
      <c r="AO984" s="148"/>
      <c r="AP984" s="148"/>
      <c r="AQ984" s="148"/>
      <c r="AR984" s="148"/>
      <c r="AS984" s="148"/>
      <c r="AT984" s="148"/>
      <c r="AU984" s="148"/>
      <c r="AV984" s="148"/>
      <c r="AW984" s="148"/>
      <c r="AX984" s="148"/>
      <c r="AY984" s="148"/>
      <c r="AZ984" s="148"/>
    </row>
    <row r="985" spans="20:52" x14ac:dyDescent="0.45">
      <c r="T985" s="148"/>
      <c r="U985" s="148"/>
      <c r="V985" s="148"/>
      <c r="W985" s="148"/>
      <c r="X985" s="148"/>
      <c r="Y985" s="148"/>
      <c r="Z985" s="148"/>
      <c r="AA985" s="148"/>
      <c r="AB985" s="148"/>
      <c r="AC985" s="148"/>
      <c r="AD985" s="148"/>
      <c r="AE985" s="148"/>
      <c r="AF985" s="148"/>
      <c r="AG985" s="148"/>
      <c r="AH985" s="148"/>
      <c r="AI985" s="148"/>
      <c r="AJ985" s="148"/>
      <c r="AK985" s="148"/>
      <c r="AL985" s="148"/>
      <c r="AM985" s="148"/>
      <c r="AN985" s="148"/>
      <c r="AO985" s="148"/>
      <c r="AP985" s="148"/>
      <c r="AQ985" s="148"/>
      <c r="AR985" s="148"/>
      <c r="AS985" s="148"/>
      <c r="AT985" s="148"/>
      <c r="AU985" s="148"/>
      <c r="AV985" s="148"/>
      <c r="AW985" s="148"/>
      <c r="AX985" s="148"/>
      <c r="AY985" s="148"/>
      <c r="AZ985" s="148"/>
    </row>
    <row r="986" spans="20:52" x14ac:dyDescent="0.45">
      <c r="T986" s="148"/>
      <c r="U986" s="148"/>
      <c r="V986" s="148"/>
      <c r="W986" s="148"/>
      <c r="X986" s="148"/>
      <c r="Y986" s="148"/>
      <c r="Z986" s="148"/>
      <c r="AA986" s="148"/>
      <c r="AB986" s="148"/>
      <c r="AC986" s="148"/>
      <c r="AD986" s="148"/>
      <c r="AE986" s="148"/>
      <c r="AF986" s="148"/>
      <c r="AG986" s="148"/>
      <c r="AH986" s="148"/>
      <c r="AI986" s="148"/>
      <c r="AJ986" s="148"/>
      <c r="AK986" s="148"/>
      <c r="AL986" s="148"/>
      <c r="AM986" s="148"/>
      <c r="AN986" s="148"/>
      <c r="AO986" s="148"/>
      <c r="AP986" s="148"/>
      <c r="AQ986" s="148"/>
      <c r="AR986" s="148"/>
      <c r="AS986" s="148"/>
      <c r="AT986" s="148"/>
      <c r="AU986" s="148"/>
      <c r="AV986" s="148"/>
      <c r="AW986" s="148"/>
      <c r="AX986" s="148"/>
      <c r="AY986" s="148"/>
      <c r="AZ986" s="148"/>
    </row>
    <row r="987" spans="20:52" x14ac:dyDescent="0.45">
      <c r="T987" s="148"/>
      <c r="U987" s="148"/>
      <c r="V987" s="148"/>
      <c r="W987" s="148"/>
      <c r="X987" s="148"/>
      <c r="Y987" s="148"/>
      <c r="Z987" s="148"/>
      <c r="AA987" s="148"/>
      <c r="AB987" s="148"/>
      <c r="AC987" s="148"/>
      <c r="AD987" s="148"/>
      <c r="AE987" s="148"/>
      <c r="AF987" s="148"/>
      <c r="AG987" s="148"/>
      <c r="AH987" s="148"/>
      <c r="AI987" s="148"/>
      <c r="AJ987" s="148"/>
      <c r="AK987" s="148"/>
      <c r="AL987" s="148"/>
      <c r="AM987" s="148"/>
      <c r="AN987" s="148"/>
      <c r="AO987" s="148"/>
      <c r="AP987" s="148"/>
      <c r="AQ987" s="148"/>
      <c r="AR987" s="148"/>
      <c r="AS987" s="148"/>
      <c r="AT987" s="148"/>
      <c r="AU987" s="148"/>
      <c r="AV987" s="148"/>
      <c r="AW987" s="148"/>
      <c r="AX987" s="148"/>
      <c r="AY987" s="148"/>
      <c r="AZ987" s="148"/>
    </row>
    <row r="988" spans="20:52" x14ac:dyDescent="0.45">
      <c r="T988" s="148"/>
      <c r="U988" s="148"/>
      <c r="V988" s="148"/>
      <c r="W988" s="148"/>
      <c r="X988" s="148"/>
      <c r="Y988" s="148"/>
      <c r="Z988" s="148"/>
      <c r="AA988" s="148"/>
      <c r="AB988" s="148"/>
      <c r="AC988" s="148"/>
      <c r="AD988" s="148"/>
      <c r="AE988" s="148"/>
      <c r="AF988" s="148"/>
      <c r="AG988" s="148"/>
      <c r="AH988" s="148"/>
      <c r="AI988" s="148"/>
      <c r="AJ988" s="148"/>
      <c r="AK988" s="148"/>
      <c r="AL988" s="148"/>
      <c r="AM988" s="148"/>
      <c r="AN988" s="148"/>
      <c r="AO988" s="148"/>
      <c r="AP988" s="148"/>
      <c r="AQ988" s="148"/>
      <c r="AR988" s="148"/>
      <c r="AS988" s="148"/>
      <c r="AT988" s="148"/>
      <c r="AU988" s="148"/>
      <c r="AV988" s="148"/>
      <c r="AW988" s="148"/>
      <c r="AX988" s="148"/>
      <c r="AY988" s="148"/>
      <c r="AZ988" s="148"/>
    </row>
    <row r="989" spans="20:52" x14ac:dyDescent="0.45">
      <c r="T989" s="148"/>
      <c r="U989" s="148"/>
      <c r="V989" s="148"/>
      <c r="W989" s="148"/>
      <c r="X989" s="148"/>
      <c r="Y989" s="148"/>
      <c r="Z989" s="148"/>
      <c r="AA989" s="148"/>
      <c r="AB989" s="148"/>
      <c r="AC989" s="148"/>
      <c r="AD989" s="148"/>
      <c r="AE989" s="148"/>
      <c r="AF989" s="148"/>
      <c r="AG989" s="148"/>
      <c r="AH989" s="148"/>
      <c r="AI989" s="148"/>
      <c r="AJ989" s="148"/>
      <c r="AK989" s="148"/>
      <c r="AL989" s="148"/>
      <c r="AM989" s="148"/>
      <c r="AN989" s="148"/>
      <c r="AO989" s="148"/>
      <c r="AP989" s="148"/>
      <c r="AQ989" s="148"/>
      <c r="AR989" s="148"/>
      <c r="AS989" s="148"/>
      <c r="AT989" s="148"/>
      <c r="AU989" s="148"/>
      <c r="AV989" s="148"/>
      <c r="AW989" s="148"/>
      <c r="AX989" s="148"/>
      <c r="AY989" s="148"/>
      <c r="AZ989" s="148"/>
    </row>
    <row r="990" spans="20:52" x14ac:dyDescent="0.45">
      <c r="T990" s="148"/>
      <c r="U990" s="148"/>
      <c r="V990" s="148"/>
      <c r="W990" s="148"/>
      <c r="X990" s="148"/>
      <c r="Y990" s="148"/>
      <c r="Z990" s="148"/>
      <c r="AA990" s="148"/>
      <c r="AB990" s="148"/>
      <c r="AC990" s="148"/>
      <c r="AD990" s="148"/>
      <c r="AE990" s="148"/>
      <c r="AF990" s="148"/>
      <c r="AG990" s="148"/>
      <c r="AH990" s="148"/>
      <c r="AI990" s="148"/>
      <c r="AJ990" s="148"/>
      <c r="AK990" s="148"/>
      <c r="AL990" s="148"/>
      <c r="AM990" s="148"/>
      <c r="AN990" s="148"/>
      <c r="AO990" s="148"/>
      <c r="AP990" s="148"/>
      <c r="AQ990" s="148"/>
      <c r="AR990" s="148"/>
      <c r="AS990" s="148"/>
      <c r="AT990" s="148"/>
      <c r="AU990" s="148"/>
      <c r="AV990" s="148"/>
      <c r="AW990" s="148"/>
      <c r="AX990" s="148"/>
      <c r="AY990" s="148"/>
      <c r="AZ990" s="148"/>
    </row>
    <row r="991" spans="20:52" x14ac:dyDescent="0.45">
      <c r="T991" s="148"/>
      <c r="U991" s="148"/>
      <c r="V991" s="148"/>
      <c r="W991" s="148"/>
      <c r="X991" s="148"/>
      <c r="Y991" s="148"/>
      <c r="Z991" s="148"/>
      <c r="AA991" s="148"/>
      <c r="AB991" s="148"/>
      <c r="AC991" s="148"/>
      <c r="AD991" s="148"/>
      <c r="AE991" s="148"/>
      <c r="AF991" s="148"/>
      <c r="AG991" s="148"/>
      <c r="AH991" s="148"/>
      <c r="AI991" s="148"/>
      <c r="AJ991" s="148"/>
      <c r="AK991" s="148"/>
      <c r="AL991" s="148"/>
      <c r="AM991" s="148"/>
      <c r="AN991" s="148"/>
      <c r="AO991" s="148"/>
      <c r="AP991" s="148"/>
      <c r="AQ991" s="148"/>
      <c r="AR991" s="148"/>
      <c r="AS991" s="148"/>
      <c r="AT991" s="148"/>
      <c r="AU991" s="148"/>
      <c r="AV991" s="148"/>
      <c r="AW991" s="148"/>
      <c r="AX991" s="148"/>
      <c r="AY991" s="148"/>
      <c r="AZ991" s="148"/>
    </row>
    <row r="992" spans="20:52" x14ac:dyDescent="0.45">
      <c r="T992" s="148"/>
      <c r="U992" s="148"/>
      <c r="V992" s="148"/>
      <c r="W992" s="148"/>
      <c r="X992" s="148"/>
      <c r="Y992" s="148"/>
      <c r="Z992" s="148"/>
      <c r="AA992" s="148"/>
      <c r="AB992" s="148"/>
      <c r="AC992" s="148"/>
      <c r="AD992" s="148"/>
      <c r="AE992" s="148"/>
      <c r="AF992" s="148"/>
      <c r="AG992" s="148"/>
      <c r="AH992" s="148"/>
      <c r="AI992" s="148"/>
      <c r="AJ992" s="148"/>
      <c r="AK992" s="148"/>
      <c r="AL992" s="148"/>
      <c r="AM992" s="148"/>
      <c r="AN992" s="148"/>
      <c r="AO992" s="148"/>
      <c r="AP992" s="148"/>
      <c r="AQ992" s="148"/>
      <c r="AR992" s="148"/>
      <c r="AS992" s="148"/>
      <c r="AT992" s="148"/>
      <c r="AU992" s="148"/>
      <c r="AV992" s="148"/>
      <c r="AW992" s="148"/>
      <c r="AX992" s="148"/>
      <c r="AY992" s="148"/>
      <c r="AZ992" s="148"/>
    </row>
    <row r="993" spans="20:52" x14ac:dyDescent="0.45">
      <c r="T993" s="148"/>
      <c r="U993" s="148"/>
      <c r="V993" s="148"/>
      <c r="W993" s="148"/>
      <c r="X993" s="148"/>
      <c r="Y993" s="148"/>
      <c r="Z993" s="148"/>
      <c r="AA993" s="148"/>
      <c r="AB993" s="148"/>
      <c r="AC993" s="148"/>
      <c r="AD993" s="148"/>
      <c r="AE993" s="148"/>
      <c r="AF993" s="148"/>
      <c r="AG993" s="148"/>
      <c r="AH993" s="148"/>
      <c r="AI993" s="148"/>
      <c r="AJ993" s="148"/>
      <c r="AK993" s="148"/>
      <c r="AL993" s="148"/>
      <c r="AM993" s="148"/>
      <c r="AN993" s="148"/>
      <c r="AO993" s="148"/>
      <c r="AP993" s="148"/>
      <c r="AQ993" s="148"/>
      <c r="AR993" s="148"/>
      <c r="AS993" s="148"/>
      <c r="AT993" s="148"/>
      <c r="AU993" s="148"/>
      <c r="AV993" s="148"/>
      <c r="AW993" s="148"/>
      <c r="AX993" s="148"/>
      <c r="AY993" s="148"/>
      <c r="AZ993" s="148"/>
    </row>
    <row r="994" spans="20:52" x14ac:dyDescent="0.45">
      <c r="T994" s="148"/>
      <c r="U994" s="148"/>
      <c r="V994" s="148"/>
      <c r="W994" s="148"/>
      <c r="X994" s="148"/>
      <c r="Y994" s="148"/>
      <c r="Z994" s="148"/>
      <c r="AA994" s="148"/>
      <c r="AB994" s="148"/>
      <c r="AC994" s="148"/>
      <c r="AD994" s="148"/>
      <c r="AE994" s="148"/>
      <c r="AF994" s="148"/>
      <c r="AG994" s="148"/>
      <c r="AH994" s="148"/>
      <c r="AI994" s="148"/>
      <c r="AJ994" s="148"/>
      <c r="AK994" s="148"/>
      <c r="AL994" s="148"/>
      <c r="AM994" s="148"/>
      <c r="AN994" s="148"/>
      <c r="AO994" s="148"/>
      <c r="AP994" s="148"/>
      <c r="AQ994" s="148"/>
      <c r="AR994" s="148"/>
      <c r="AS994" s="148"/>
      <c r="AT994" s="148"/>
      <c r="AU994" s="148"/>
      <c r="AV994" s="148"/>
      <c r="AW994" s="148"/>
      <c r="AX994" s="148"/>
      <c r="AY994" s="148"/>
      <c r="AZ994" s="148"/>
    </row>
    <row r="995" spans="20:52" x14ac:dyDescent="0.45">
      <c r="T995" s="148"/>
      <c r="U995" s="148"/>
      <c r="V995" s="148"/>
      <c r="W995" s="148"/>
      <c r="X995" s="148"/>
      <c r="Y995" s="148"/>
      <c r="Z995" s="148"/>
      <c r="AA995" s="148"/>
      <c r="AB995" s="148"/>
      <c r="AC995" s="148"/>
      <c r="AD995" s="148"/>
      <c r="AE995" s="148"/>
      <c r="AF995" s="148"/>
      <c r="AG995" s="148"/>
      <c r="AH995" s="148"/>
      <c r="AI995" s="148"/>
      <c r="AJ995" s="148"/>
      <c r="AK995" s="148"/>
      <c r="AL995" s="148"/>
      <c r="AM995" s="148"/>
      <c r="AN995" s="148"/>
      <c r="AO995" s="148"/>
      <c r="AP995" s="148"/>
      <c r="AQ995" s="148"/>
      <c r="AR995" s="148"/>
      <c r="AS995" s="148"/>
      <c r="AT995" s="148"/>
      <c r="AU995" s="148"/>
      <c r="AV995" s="148"/>
      <c r="AW995" s="148"/>
      <c r="AX995" s="148"/>
      <c r="AY995" s="148"/>
      <c r="AZ995" s="148"/>
    </row>
    <row r="996" spans="20:52" x14ac:dyDescent="0.45">
      <c r="T996" s="148"/>
      <c r="U996" s="148"/>
      <c r="V996" s="148"/>
      <c r="W996" s="148"/>
      <c r="X996" s="148"/>
      <c r="Y996" s="148"/>
      <c r="Z996" s="148"/>
      <c r="AA996" s="148"/>
      <c r="AB996" s="148"/>
      <c r="AC996" s="148"/>
      <c r="AD996" s="148"/>
      <c r="AE996" s="148"/>
      <c r="AF996" s="148"/>
      <c r="AG996" s="148"/>
      <c r="AH996" s="148"/>
      <c r="AI996" s="148"/>
      <c r="AJ996" s="148"/>
      <c r="AK996" s="148"/>
      <c r="AL996" s="148"/>
      <c r="AM996" s="148"/>
      <c r="AN996" s="148"/>
      <c r="AO996" s="148"/>
      <c r="AP996" s="148"/>
      <c r="AQ996" s="148"/>
      <c r="AR996" s="148"/>
      <c r="AS996" s="148"/>
      <c r="AT996" s="148"/>
      <c r="AU996" s="148"/>
      <c r="AV996" s="148"/>
      <c r="AW996" s="148"/>
      <c r="AX996" s="148"/>
      <c r="AY996" s="148"/>
      <c r="AZ996" s="148"/>
    </row>
    <row r="997" spans="20:52" x14ac:dyDescent="0.45">
      <c r="T997" s="148"/>
      <c r="U997" s="148"/>
      <c r="V997" s="148"/>
      <c r="W997" s="148"/>
      <c r="X997" s="148"/>
      <c r="Y997" s="148"/>
      <c r="Z997" s="148"/>
      <c r="AA997" s="148"/>
      <c r="AB997" s="148"/>
      <c r="AC997" s="148"/>
      <c r="AD997" s="148"/>
      <c r="AE997" s="148"/>
      <c r="AF997" s="148"/>
      <c r="AG997" s="148"/>
      <c r="AH997" s="148"/>
      <c r="AI997" s="148"/>
      <c r="AJ997" s="148"/>
      <c r="AK997" s="148"/>
      <c r="AL997" s="148"/>
      <c r="AM997" s="148"/>
      <c r="AN997" s="148"/>
      <c r="AO997" s="148"/>
      <c r="AP997" s="148"/>
      <c r="AQ997" s="148"/>
      <c r="AR997" s="148"/>
      <c r="AS997" s="148"/>
      <c r="AT997" s="148"/>
      <c r="AU997" s="148"/>
      <c r="AV997" s="148"/>
      <c r="AW997" s="148"/>
      <c r="AX997" s="148"/>
      <c r="AY997" s="148"/>
      <c r="AZ997" s="148"/>
    </row>
    <row r="998" spans="20:52" x14ac:dyDescent="0.45">
      <c r="T998" s="148"/>
      <c r="U998" s="148"/>
      <c r="V998" s="148"/>
      <c r="W998" s="148"/>
      <c r="X998" s="148"/>
      <c r="Y998" s="148"/>
      <c r="Z998" s="148"/>
      <c r="AA998" s="148"/>
      <c r="AB998" s="148"/>
      <c r="AC998" s="148"/>
      <c r="AD998" s="148"/>
      <c r="AE998" s="148"/>
      <c r="AF998" s="148"/>
      <c r="AG998" s="148"/>
      <c r="AH998" s="148"/>
      <c r="AI998" s="148"/>
      <c r="AJ998" s="148"/>
      <c r="AK998" s="148"/>
      <c r="AL998" s="148"/>
      <c r="AM998" s="148"/>
      <c r="AN998" s="148"/>
      <c r="AO998" s="148"/>
      <c r="AP998" s="148"/>
      <c r="AQ998" s="148"/>
      <c r="AR998" s="148"/>
      <c r="AS998" s="148"/>
      <c r="AT998" s="148"/>
      <c r="AU998" s="148"/>
      <c r="AV998" s="148"/>
      <c r="AW998" s="148"/>
      <c r="AX998" s="148"/>
      <c r="AY998" s="148"/>
      <c r="AZ998" s="148"/>
    </row>
    <row r="999" spans="20:52" x14ac:dyDescent="0.45">
      <c r="T999" s="148"/>
      <c r="U999" s="148"/>
      <c r="V999" s="148"/>
      <c r="W999" s="148"/>
      <c r="X999" s="148"/>
      <c r="Y999" s="148"/>
      <c r="Z999" s="148"/>
      <c r="AA999" s="148"/>
      <c r="AB999" s="148"/>
      <c r="AC999" s="148"/>
      <c r="AD999" s="148"/>
      <c r="AE999" s="148"/>
      <c r="AF999" s="148"/>
      <c r="AG999" s="148"/>
      <c r="AH999" s="148"/>
      <c r="AI999" s="148"/>
      <c r="AJ999" s="148"/>
      <c r="AK999" s="148"/>
      <c r="AL999" s="148"/>
      <c r="AM999" s="148"/>
      <c r="AN999" s="148"/>
      <c r="AO999" s="148"/>
      <c r="AP999" s="148"/>
      <c r="AQ999" s="148"/>
      <c r="AR999" s="148"/>
      <c r="AS999" s="148"/>
      <c r="AT999" s="148"/>
      <c r="AU999" s="148"/>
      <c r="AV999" s="148"/>
      <c r="AW999" s="148"/>
      <c r="AX999" s="148"/>
      <c r="AY999" s="148"/>
      <c r="AZ999" s="148"/>
    </row>
    <row r="1000" spans="20:52" x14ac:dyDescent="0.45">
      <c r="T1000" s="148"/>
      <c r="U1000" s="148"/>
      <c r="V1000" s="148"/>
      <c r="W1000" s="148"/>
      <c r="X1000" s="148"/>
      <c r="Y1000" s="148"/>
      <c r="Z1000" s="148"/>
      <c r="AA1000" s="148"/>
      <c r="AB1000" s="148"/>
      <c r="AC1000" s="148"/>
      <c r="AD1000" s="148"/>
      <c r="AE1000" s="148"/>
      <c r="AF1000" s="148"/>
      <c r="AG1000" s="148"/>
      <c r="AH1000" s="148"/>
      <c r="AI1000" s="148"/>
      <c r="AJ1000" s="148"/>
      <c r="AK1000" s="148"/>
      <c r="AL1000" s="148"/>
      <c r="AM1000" s="148"/>
      <c r="AN1000" s="148"/>
      <c r="AO1000" s="148"/>
      <c r="AP1000" s="148"/>
      <c r="AQ1000" s="148"/>
      <c r="AR1000" s="148"/>
      <c r="AS1000" s="148"/>
      <c r="AT1000" s="148"/>
      <c r="AU1000" s="148"/>
      <c r="AV1000" s="148"/>
      <c r="AW1000" s="148"/>
      <c r="AX1000" s="148"/>
      <c r="AY1000" s="148"/>
      <c r="AZ1000" s="148"/>
    </row>
    <row r="1001" spans="20:52" x14ac:dyDescent="0.45">
      <c r="T1001" s="148"/>
      <c r="U1001" s="148"/>
      <c r="V1001" s="148"/>
      <c r="W1001" s="148"/>
      <c r="X1001" s="148"/>
      <c r="Y1001" s="148"/>
      <c r="Z1001" s="148"/>
      <c r="AA1001" s="148"/>
      <c r="AB1001" s="148"/>
      <c r="AC1001" s="148"/>
      <c r="AD1001" s="148"/>
      <c r="AE1001" s="148"/>
      <c r="AF1001" s="148"/>
      <c r="AG1001" s="148"/>
      <c r="AH1001" s="148"/>
      <c r="AI1001" s="148"/>
      <c r="AJ1001" s="148"/>
      <c r="AK1001" s="148"/>
      <c r="AL1001" s="148"/>
      <c r="AM1001" s="148"/>
      <c r="AN1001" s="148"/>
      <c r="AO1001" s="148"/>
      <c r="AP1001" s="148"/>
      <c r="AQ1001" s="148"/>
      <c r="AR1001" s="148"/>
      <c r="AS1001" s="148"/>
      <c r="AT1001" s="148"/>
      <c r="AU1001" s="148"/>
      <c r="AV1001" s="148"/>
      <c r="AW1001" s="148"/>
      <c r="AX1001" s="148"/>
      <c r="AY1001" s="148"/>
      <c r="AZ1001" s="148"/>
    </row>
    <row r="1002" spans="20:52" x14ac:dyDescent="0.45">
      <c r="T1002" s="148"/>
      <c r="U1002" s="148"/>
      <c r="V1002" s="148"/>
      <c r="W1002" s="148"/>
      <c r="X1002" s="148"/>
      <c r="Y1002" s="148"/>
      <c r="Z1002" s="148"/>
      <c r="AA1002" s="148"/>
      <c r="AB1002" s="148"/>
      <c r="AC1002" s="148"/>
      <c r="AD1002" s="148"/>
      <c r="AE1002" s="148"/>
      <c r="AF1002" s="148"/>
      <c r="AG1002" s="148"/>
      <c r="AH1002" s="148"/>
      <c r="AI1002" s="148"/>
      <c r="AJ1002" s="148"/>
      <c r="AK1002" s="148"/>
      <c r="AL1002" s="148"/>
      <c r="AM1002" s="148"/>
      <c r="AN1002" s="148"/>
      <c r="AO1002" s="148"/>
      <c r="AP1002" s="148"/>
      <c r="AQ1002" s="148"/>
      <c r="AR1002" s="148"/>
      <c r="AS1002" s="148"/>
      <c r="AT1002" s="148"/>
      <c r="AU1002" s="148"/>
      <c r="AV1002" s="148"/>
      <c r="AW1002" s="148"/>
      <c r="AX1002" s="148"/>
      <c r="AY1002" s="148"/>
      <c r="AZ1002" s="148"/>
    </row>
    <row r="1003" spans="20:52" x14ac:dyDescent="0.45">
      <c r="T1003" s="148"/>
      <c r="U1003" s="148"/>
      <c r="V1003" s="148"/>
      <c r="W1003" s="148"/>
      <c r="X1003" s="148"/>
      <c r="Y1003" s="148"/>
      <c r="Z1003" s="148"/>
      <c r="AA1003" s="148"/>
      <c r="AB1003" s="148"/>
      <c r="AC1003" s="148"/>
      <c r="AD1003" s="148"/>
      <c r="AE1003" s="148"/>
      <c r="AF1003" s="148"/>
      <c r="AG1003" s="148"/>
      <c r="AH1003" s="148"/>
      <c r="AI1003" s="148"/>
      <c r="AJ1003" s="148"/>
      <c r="AK1003" s="148"/>
      <c r="AL1003" s="148"/>
      <c r="AM1003" s="148"/>
      <c r="AN1003" s="148"/>
      <c r="AO1003" s="148"/>
      <c r="AP1003" s="148"/>
      <c r="AQ1003" s="148"/>
      <c r="AR1003" s="148"/>
      <c r="AS1003" s="148"/>
      <c r="AT1003" s="148"/>
      <c r="AU1003" s="148"/>
      <c r="AV1003" s="148"/>
      <c r="AW1003" s="148"/>
      <c r="AX1003" s="148"/>
      <c r="AY1003" s="148"/>
      <c r="AZ1003" s="148"/>
    </row>
    <row r="1004" spans="20:52" x14ac:dyDescent="0.45">
      <c r="T1004" s="148"/>
      <c r="U1004" s="148"/>
      <c r="V1004" s="148"/>
      <c r="W1004" s="148"/>
      <c r="X1004" s="148"/>
      <c r="Y1004" s="148"/>
      <c r="Z1004" s="148"/>
      <c r="AA1004" s="148"/>
      <c r="AB1004" s="148"/>
      <c r="AC1004" s="148"/>
      <c r="AD1004" s="148"/>
      <c r="AE1004" s="148"/>
      <c r="AF1004" s="148"/>
      <c r="AG1004" s="148"/>
      <c r="AH1004" s="148"/>
      <c r="AI1004" s="148"/>
      <c r="AJ1004" s="148"/>
      <c r="AK1004" s="148"/>
      <c r="AL1004" s="148"/>
      <c r="AM1004" s="148"/>
      <c r="AN1004" s="148"/>
      <c r="AO1004" s="148"/>
      <c r="AP1004" s="148"/>
      <c r="AQ1004" s="148"/>
      <c r="AR1004" s="148"/>
      <c r="AS1004" s="148"/>
      <c r="AT1004" s="148"/>
      <c r="AU1004" s="148"/>
      <c r="AV1004" s="148"/>
      <c r="AW1004" s="148"/>
      <c r="AX1004" s="148"/>
      <c r="AY1004" s="148"/>
      <c r="AZ1004" s="148"/>
    </row>
    <row r="1005" spans="20:52" x14ac:dyDescent="0.45">
      <c r="T1005" s="148"/>
      <c r="U1005" s="148"/>
      <c r="V1005" s="148"/>
      <c r="W1005" s="148"/>
      <c r="X1005" s="148"/>
      <c r="Y1005" s="148"/>
      <c r="Z1005" s="148"/>
      <c r="AA1005" s="148"/>
      <c r="AB1005" s="148"/>
      <c r="AC1005" s="148"/>
      <c r="AD1005" s="148"/>
      <c r="AE1005" s="148"/>
      <c r="AF1005" s="148"/>
      <c r="AG1005" s="148"/>
      <c r="AH1005" s="148"/>
      <c r="AI1005" s="148"/>
      <c r="AJ1005" s="148"/>
      <c r="AK1005" s="148"/>
      <c r="AL1005" s="148"/>
      <c r="AM1005" s="148"/>
      <c r="AN1005" s="148"/>
      <c r="AO1005" s="148"/>
      <c r="AP1005" s="148"/>
      <c r="AQ1005" s="148"/>
      <c r="AR1005" s="148"/>
      <c r="AS1005" s="148"/>
      <c r="AT1005" s="148"/>
      <c r="AU1005" s="148"/>
      <c r="AV1005" s="148"/>
      <c r="AW1005" s="148"/>
      <c r="AX1005" s="148"/>
      <c r="AY1005" s="148"/>
      <c r="AZ1005" s="148"/>
    </row>
    <row r="1006" spans="20:52" x14ac:dyDescent="0.45">
      <c r="T1006" s="148"/>
      <c r="U1006" s="148"/>
      <c r="V1006" s="148"/>
      <c r="W1006" s="148"/>
      <c r="X1006" s="148"/>
      <c r="Y1006" s="148"/>
      <c r="Z1006" s="148"/>
      <c r="AA1006" s="148"/>
      <c r="AB1006" s="148"/>
      <c r="AC1006" s="148"/>
      <c r="AD1006" s="148"/>
      <c r="AE1006" s="148"/>
      <c r="AF1006" s="148"/>
      <c r="AG1006" s="148"/>
      <c r="AH1006" s="148"/>
      <c r="AI1006" s="148"/>
      <c r="AJ1006" s="148"/>
      <c r="AK1006" s="148"/>
      <c r="AL1006" s="148"/>
      <c r="AM1006" s="148"/>
      <c r="AN1006" s="148"/>
      <c r="AO1006" s="148"/>
      <c r="AP1006" s="148"/>
      <c r="AQ1006" s="148"/>
      <c r="AR1006" s="148"/>
      <c r="AS1006" s="148"/>
      <c r="AT1006" s="148"/>
      <c r="AU1006" s="148"/>
      <c r="AV1006" s="148"/>
      <c r="AW1006" s="148"/>
      <c r="AX1006" s="148"/>
      <c r="AY1006" s="148"/>
      <c r="AZ1006" s="148"/>
    </row>
    <row r="1007" spans="20:52" x14ac:dyDescent="0.45">
      <c r="T1007" s="148"/>
      <c r="U1007" s="148"/>
      <c r="V1007" s="148"/>
      <c r="W1007" s="148"/>
      <c r="X1007" s="148"/>
      <c r="Y1007" s="148"/>
      <c r="Z1007" s="148"/>
      <c r="AA1007" s="148"/>
      <c r="AB1007" s="148"/>
      <c r="AC1007" s="148"/>
      <c r="AD1007" s="148"/>
      <c r="AE1007" s="148"/>
      <c r="AF1007" s="148"/>
      <c r="AG1007" s="148"/>
      <c r="AH1007" s="148"/>
      <c r="AI1007" s="148"/>
      <c r="AJ1007" s="148"/>
      <c r="AK1007" s="148"/>
      <c r="AL1007" s="148"/>
      <c r="AM1007" s="148"/>
      <c r="AN1007" s="148"/>
      <c r="AO1007" s="148"/>
      <c r="AP1007" s="148"/>
      <c r="AQ1007" s="148"/>
      <c r="AR1007" s="148"/>
      <c r="AS1007" s="148"/>
      <c r="AT1007" s="148"/>
      <c r="AU1007" s="148"/>
      <c r="AV1007" s="148"/>
      <c r="AW1007" s="148"/>
      <c r="AX1007" s="148"/>
      <c r="AY1007" s="148"/>
      <c r="AZ1007" s="148"/>
    </row>
    <row r="1008" spans="20:52" x14ac:dyDescent="0.45">
      <c r="T1008" s="148"/>
      <c r="U1008" s="148"/>
      <c r="V1008" s="148"/>
      <c r="W1008" s="148"/>
      <c r="X1008" s="148"/>
      <c r="Y1008" s="148"/>
      <c r="Z1008" s="148"/>
      <c r="AA1008" s="148"/>
      <c r="AB1008" s="148"/>
      <c r="AC1008" s="148"/>
      <c r="AD1008" s="148"/>
      <c r="AE1008" s="148"/>
      <c r="AF1008" s="148"/>
      <c r="AG1008" s="148"/>
      <c r="AH1008" s="148"/>
      <c r="AI1008" s="148"/>
      <c r="AJ1008" s="148"/>
      <c r="AK1008" s="148"/>
      <c r="AL1008" s="148"/>
      <c r="AM1008" s="148"/>
      <c r="AN1008" s="148"/>
      <c r="AO1008" s="148"/>
      <c r="AP1008" s="148"/>
      <c r="AQ1008" s="148"/>
      <c r="AR1008" s="148"/>
      <c r="AS1008" s="148"/>
      <c r="AT1008" s="148"/>
      <c r="AU1008" s="148"/>
      <c r="AV1008" s="148"/>
      <c r="AW1008" s="148"/>
      <c r="AX1008" s="148"/>
      <c r="AY1008" s="148"/>
      <c r="AZ1008" s="148"/>
    </row>
    <row r="1009" spans="20:52" x14ac:dyDescent="0.45">
      <c r="T1009" s="148"/>
      <c r="U1009" s="148"/>
      <c r="V1009" s="148"/>
      <c r="W1009" s="148"/>
      <c r="X1009" s="148"/>
      <c r="Y1009" s="148"/>
      <c r="Z1009" s="148"/>
      <c r="AA1009" s="148"/>
      <c r="AB1009" s="148"/>
      <c r="AC1009" s="148"/>
      <c r="AD1009" s="148"/>
      <c r="AE1009" s="148"/>
      <c r="AF1009" s="148"/>
      <c r="AG1009" s="148"/>
      <c r="AH1009" s="148"/>
      <c r="AI1009" s="148"/>
      <c r="AJ1009" s="148"/>
      <c r="AK1009" s="148"/>
      <c r="AL1009" s="148"/>
      <c r="AM1009" s="148"/>
      <c r="AN1009" s="148"/>
      <c r="AO1009" s="148"/>
      <c r="AP1009" s="148"/>
      <c r="AQ1009" s="148"/>
      <c r="AR1009" s="148"/>
      <c r="AS1009" s="148"/>
      <c r="AT1009" s="148"/>
      <c r="AU1009" s="148"/>
      <c r="AV1009" s="148"/>
      <c r="AW1009" s="148"/>
      <c r="AX1009" s="148"/>
      <c r="AY1009" s="148"/>
      <c r="AZ1009" s="148"/>
    </row>
    <row r="1010" spans="20:52" x14ac:dyDescent="0.45">
      <c r="T1010" s="148"/>
      <c r="U1010" s="148"/>
      <c r="V1010" s="148"/>
      <c r="W1010" s="148"/>
      <c r="X1010" s="148"/>
      <c r="Y1010" s="148"/>
      <c r="Z1010" s="148"/>
      <c r="AA1010" s="148"/>
      <c r="AB1010" s="148"/>
      <c r="AC1010" s="148"/>
      <c r="AD1010" s="148"/>
      <c r="AE1010" s="148"/>
      <c r="AF1010" s="148"/>
      <c r="AG1010" s="148"/>
      <c r="AH1010" s="148"/>
      <c r="AI1010" s="148"/>
      <c r="AJ1010" s="148"/>
      <c r="AK1010" s="148"/>
      <c r="AL1010" s="148"/>
      <c r="AM1010" s="148"/>
      <c r="AN1010" s="148"/>
      <c r="AO1010" s="148"/>
      <c r="AP1010" s="148"/>
      <c r="AQ1010" s="148"/>
      <c r="AR1010" s="148"/>
      <c r="AS1010" s="148"/>
      <c r="AT1010" s="148"/>
      <c r="AU1010" s="148"/>
      <c r="AV1010" s="148"/>
      <c r="AW1010" s="148"/>
      <c r="AX1010" s="148"/>
      <c r="AY1010" s="148"/>
      <c r="AZ1010" s="148"/>
    </row>
    <row r="1011" spans="20:52" x14ac:dyDescent="0.45">
      <c r="T1011" s="148"/>
      <c r="U1011" s="148"/>
      <c r="V1011" s="148"/>
      <c r="W1011" s="148"/>
      <c r="X1011" s="148"/>
      <c r="Y1011" s="148"/>
      <c r="Z1011" s="148"/>
      <c r="AA1011" s="148"/>
      <c r="AB1011" s="148"/>
      <c r="AC1011" s="148"/>
      <c r="AD1011" s="148"/>
      <c r="AE1011" s="148"/>
      <c r="AF1011" s="148"/>
      <c r="AG1011" s="148"/>
      <c r="AH1011" s="148"/>
      <c r="AI1011" s="148"/>
      <c r="AJ1011" s="148"/>
      <c r="AK1011" s="148"/>
      <c r="AL1011" s="148"/>
      <c r="AM1011" s="148"/>
      <c r="AN1011" s="148"/>
      <c r="AO1011" s="148"/>
      <c r="AP1011" s="148"/>
      <c r="AQ1011" s="148"/>
      <c r="AR1011" s="148"/>
      <c r="AS1011" s="148"/>
      <c r="AT1011" s="148"/>
      <c r="AU1011" s="148"/>
      <c r="AV1011" s="148"/>
      <c r="AW1011" s="148"/>
      <c r="AX1011" s="148"/>
      <c r="AY1011" s="148"/>
      <c r="AZ1011" s="148"/>
    </row>
    <row r="1012" spans="20:52" x14ac:dyDescent="0.45">
      <c r="T1012" s="148"/>
      <c r="U1012" s="148"/>
      <c r="V1012" s="148"/>
      <c r="W1012" s="148"/>
      <c r="X1012" s="148"/>
      <c r="Y1012" s="148"/>
      <c r="Z1012" s="148"/>
      <c r="AA1012" s="148"/>
      <c r="AB1012" s="148"/>
      <c r="AC1012" s="148"/>
      <c r="AD1012" s="148"/>
      <c r="AE1012" s="148"/>
      <c r="AF1012" s="148"/>
      <c r="AG1012" s="148"/>
      <c r="AH1012" s="148"/>
      <c r="AI1012" s="148"/>
      <c r="AJ1012" s="148"/>
      <c r="AK1012" s="148"/>
      <c r="AL1012" s="148"/>
      <c r="AM1012" s="148"/>
      <c r="AN1012" s="148"/>
      <c r="AO1012" s="148"/>
      <c r="AP1012" s="148"/>
      <c r="AQ1012" s="148"/>
      <c r="AR1012" s="148"/>
      <c r="AS1012" s="148"/>
      <c r="AT1012" s="148"/>
      <c r="AU1012" s="148"/>
      <c r="AV1012" s="148"/>
      <c r="AW1012" s="148"/>
      <c r="AX1012" s="148"/>
      <c r="AY1012" s="148"/>
      <c r="AZ1012" s="148"/>
    </row>
    <row r="1013" spans="20:52" x14ac:dyDescent="0.45">
      <c r="T1013" s="148"/>
      <c r="U1013" s="148"/>
      <c r="V1013" s="148"/>
      <c r="W1013" s="148"/>
      <c r="X1013" s="148"/>
      <c r="Y1013" s="148"/>
      <c r="Z1013" s="148"/>
      <c r="AA1013" s="148"/>
      <c r="AB1013" s="148"/>
      <c r="AC1013" s="148"/>
      <c r="AD1013" s="148"/>
      <c r="AE1013" s="148"/>
      <c r="AF1013" s="148"/>
      <c r="AG1013" s="148"/>
      <c r="AH1013" s="148"/>
      <c r="AI1013" s="148"/>
      <c r="AJ1013" s="148"/>
      <c r="AK1013" s="148"/>
      <c r="AL1013" s="148"/>
      <c r="AM1013" s="148"/>
      <c r="AN1013" s="148"/>
      <c r="AO1013" s="148"/>
      <c r="AP1013" s="148"/>
      <c r="AQ1013" s="148"/>
      <c r="AR1013" s="148"/>
      <c r="AS1013" s="148"/>
      <c r="AT1013" s="148"/>
      <c r="AU1013" s="148"/>
      <c r="AV1013" s="148"/>
      <c r="AW1013" s="148"/>
      <c r="AX1013" s="148"/>
      <c r="AY1013" s="148"/>
      <c r="AZ1013" s="148"/>
    </row>
    <row r="1014" spans="20:52" x14ac:dyDescent="0.45">
      <c r="T1014" s="148"/>
      <c r="U1014" s="148"/>
      <c r="V1014" s="148"/>
      <c r="W1014" s="148"/>
      <c r="X1014" s="148"/>
      <c r="Y1014" s="148"/>
      <c r="Z1014" s="148"/>
      <c r="AA1014" s="148"/>
      <c r="AB1014" s="148"/>
      <c r="AC1014" s="148"/>
      <c r="AD1014" s="148"/>
      <c r="AE1014" s="148"/>
      <c r="AF1014" s="148"/>
      <c r="AG1014" s="148"/>
      <c r="AH1014" s="148"/>
      <c r="AI1014" s="148"/>
      <c r="AJ1014" s="148"/>
      <c r="AK1014" s="148"/>
      <c r="AL1014" s="148"/>
      <c r="AM1014" s="148"/>
      <c r="AN1014" s="148"/>
      <c r="AO1014" s="148"/>
      <c r="AP1014" s="148"/>
      <c r="AQ1014" s="148"/>
      <c r="AR1014" s="148"/>
      <c r="AS1014" s="148"/>
      <c r="AT1014" s="148"/>
      <c r="AU1014" s="148"/>
      <c r="AV1014" s="148"/>
      <c r="AW1014" s="148"/>
      <c r="AX1014" s="148"/>
      <c r="AY1014" s="148"/>
      <c r="AZ1014" s="148"/>
    </row>
    <row r="1015" spans="20:52" x14ac:dyDescent="0.45">
      <c r="T1015" s="148"/>
      <c r="U1015" s="148"/>
      <c r="V1015" s="148"/>
      <c r="W1015" s="148"/>
      <c r="X1015" s="148"/>
      <c r="Y1015" s="148"/>
      <c r="Z1015" s="148"/>
      <c r="AA1015" s="148"/>
      <c r="AB1015" s="148"/>
      <c r="AC1015" s="148"/>
      <c r="AD1015" s="148"/>
      <c r="AE1015" s="148"/>
      <c r="AF1015" s="148"/>
      <c r="AG1015" s="148"/>
      <c r="AH1015" s="148"/>
      <c r="AI1015" s="148"/>
      <c r="AJ1015" s="148"/>
      <c r="AK1015" s="148"/>
      <c r="AL1015" s="148"/>
      <c r="AM1015" s="148"/>
      <c r="AN1015" s="148"/>
      <c r="AO1015" s="148"/>
      <c r="AP1015" s="148"/>
      <c r="AQ1015" s="148"/>
      <c r="AR1015" s="148"/>
      <c r="AS1015" s="148"/>
      <c r="AT1015" s="148"/>
      <c r="AU1015" s="148"/>
      <c r="AV1015" s="148"/>
      <c r="AW1015" s="148"/>
      <c r="AX1015" s="148"/>
      <c r="AY1015" s="148"/>
      <c r="AZ1015" s="148"/>
    </row>
    <row r="1016" spans="20:52" x14ac:dyDescent="0.45">
      <c r="T1016" s="148"/>
      <c r="U1016" s="148"/>
      <c r="V1016" s="148"/>
      <c r="W1016" s="148"/>
      <c r="X1016" s="148"/>
      <c r="Y1016" s="148"/>
      <c r="Z1016" s="148"/>
      <c r="AA1016" s="148"/>
      <c r="AB1016" s="148"/>
      <c r="AC1016" s="148"/>
      <c r="AD1016" s="148"/>
      <c r="AE1016" s="148"/>
      <c r="AF1016" s="148"/>
      <c r="AG1016" s="148"/>
      <c r="AH1016" s="148"/>
      <c r="AI1016" s="148"/>
      <c r="AJ1016" s="148"/>
      <c r="AK1016" s="148"/>
      <c r="AL1016" s="148"/>
      <c r="AM1016" s="148"/>
      <c r="AN1016" s="148"/>
      <c r="AO1016" s="148"/>
      <c r="AP1016" s="148"/>
      <c r="AQ1016" s="148"/>
      <c r="AR1016" s="148"/>
      <c r="AS1016" s="148"/>
      <c r="AT1016" s="148"/>
      <c r="AU1016" s="148"/>
      <c r="AV1016" s="148"/>
      <c r="AW1016" s="148"/>
      <c r="AX1016" s="148"/>
      <c r="AY1016" s="148"/>
      <c r="AZ1016" s="148"/>
    </row>
    <row r="1017" spans="20:52" x14ac:dyDescent="0.45">
      <c r="T1017" s="148"/>
      <c r="U1017" s="148"/>
      <c r="V1017" s="148"/>
      <c r="W1017" s="148"/>
      <c r="X1017" s="148"/>
      <c r="Y1017" s="148"/>
      <c r="Z1017" s="148"/>
      <c r="AA1017" s="148"/>
      <c r="AB1017" s="148"/>
      <c r="AC1017" s="148"/>
      <c r="AD1017" s="148"/>
      <c r="AE1017" s="148"/>
      <c r="AF1017" s="148"/>
      <c r="AG1017" s="148"/>
      <c r="AH1017" s="148"/>
      <c r="AI1017" s="148"/>
      <c r="AJ1017" s="148"/>
      <c r="AK1017" s="148"/>
      <c r="AL1017" s="148"/>
      <c r="AM1017" s="148"/>
      <c r="AN1017" s="148"/>
      <c r="AO1017" s="148"/>
      <c r="AP1017" s="148"/>
      <c r="AQ1017" s="148"/>
      <c r="AR1017" s="148"/>
      <c r="AS1017" s="148"/>
      <c r="AT1017" s="148"/>
      <c r="AU1017" s="148"/>
      <c r="AV1017" s="148"/>
      <c r="AW1017" s="148"/>
      <c r="AX1017" s="148"/>
      <c r="AY1017" s="148"/>
      <c r="AZ1017" s="148"/>
    </row>
    <row r="1018" spans="20:52" x14ac:dyDescent="0.45">
      <c r="T1018" s="148"/>
      <c r="U1018" s="148"/>
      <c r="V1018" s="148"/>
      <c r="W1018" s="148"/>
      <c r="X1018" s="148"/>
      <c r="Y1018" s="148"/>
      <c r="Z1018" s="148"/>
      <c r="AA1018" s="148"/>
      <c r="AB1018" s="148"/>
      <c r="AC1018" s="148"/>
      <c r="AD1018" s="148"/>
      <c r="AE1018" s="148"/>
      <c r="AF1018" s="148"/>
      <c r="AG1018" s="148"/>
      <c r="AH1018" s="148"/>
      <c r="AI1018" s="148"/>
      <c r="AJ1018" s="148"/>
      <c r="AK1018" s="148"/>
      <c r="AL1018" s="148"/>
      <c r="AM1018" s="148"/>
      <c r="AN1018" s="148"/>
      <c r="AO1018" s="148"/>
      <c r="AP1018" s="148"/>
      <c r="AQ1018" s="148"/>
      <c r="AR1018" s="148"/>
      <c r="AS1018" s="148"/>
      <c r="AT1018" s="148"/>
      <c r="AU1018" s="148"/>
      <c r="AV1018" s="148"/>
      <c r="AW1018" s="148"/>
      <c r="AX1018" s="148"/>
      <c r="AY1018" s="148"/>
      <c r="AZ1018" s="148"/>
    </row>
    <row r="1019" spans="20:52" x14ac:dyDescent="0.45">
      <c r="T1019" s="148"/>
      <c r="U1019" s="148"/>
      <c r="V1019" s="148"/>
      <c r="W1019" s="148"/>
      <c r="X1019" s="148"/>
      <c r="Y1019" s="148"/>
      <c r="Z1019" s="148"/>
      <c r="AA1019" s="148"/>
      <c r="AB1019" s="148"/>
      <c r="AC1019" s="148"/>
      <c r="AD1019" s="148"/>
      <c r="AE1019" s="148"/>
      <c r="AF1019" s="148"/>
      <c r="AG1019" s="148"/>
      <c r="AH1019" s="148"/>
      <c r="AI1019" s="148"/>
      <c r="AJ1019" s="148"/>
      <c r="AK1019" s="148"/>
      <c r="AL1019" s="148"/>
      <c r="AM1019" s="148"/>
      <c r="AN1019" s="148"/>
      <c r="AO1019" s="148"/>
      <c r="AP1019" s="148"/>
      <c r="AQ1019" s="148"/>
      <c r="AR1019" s="148"/>
      <c r="AS1019" s="148"/>
      <c r="AT1019" s="148"/>
      <c r="AU1019" s="148"/>
      <c r="AV1019" s="148"/>
      <c r="AW1019" s="148"/>
      <c r="AX1019" s="148"/>
      <c r="AY1019" s="148"/>
      <c r="AZ1019" s="148"/>
    </row>
    <row r="1020" spans="20:52" x14ac:dyDescent="0.45">
      <c r="T1020" s="148"/>
      <c r="U1020" s="148"/>
      <c r="V1020" s="148"/>
      <c r="W1020" s="148"/>
      <c r="X1020" s="148"/>
      <c r="Y1020" s="148"/>
      <c r="Z1020" s="148"/>
      <c r="AA1020" s="148"/>
      <c r="AB1020" s="148"/>
      <c r="AC1020" s="148"/>
      <c r="AD1020" s="148"/>
      <c r="AE1020" s="148"/>
      <c r="AF1020" s="148"/>
      <c r="AG1020" s="148"/>
      <c r="AH1020" s="148"/>
      <c r="AI1020" s="148"/>
      <c r="AJ1020" s="148"/>
      <c r="AK1020" s="148"/>
      <c r="AL1020" s="148"/>
      <c r="AM1020" s="148"/>
      <c r="AN1020" s="148"/>
      <c r="AO1020" s="148"/>
      <c r="AP1020" s="148"/>
      <c r="AQ1020" s="148"/>
      <c r="AR1020" s="148"/>
      <c r="AS1020" s="148"/>
      <c r="AT1020" s="148"/>
      <c r="AU1020" s="148"/>
      <c r="AV1020" s="148"/>
      <c r="AW1020" s="148"/>
      <c r="AX1020" s="148"/>
      <c r="AY1020" s="148"/>
      <c r="AZ1020" s="148"/>
    </row>
    <row r="1021" spans="20:52" x14ac:dyDescent="0.45">
      <c r="T1021" s="148"/>
      <c r="U1021" s="148"/>
      <c r="V1021" s="148"/>
      <c r="W1021" s="148"/>
      <c r="X1021" s="148"/>
      <c r="Y1021" s="148"/>
      <c r="Z1021" s="148"/>
      <c r="AA1021" s="148"/>
      <c r="AB1021" s="148"/>
      <c r="AC1021" s="148"/>
      <c r="AD1021" s="148"/>
      <c r="AE1021" s="148"/>
      <c r="AF1021" s="148"/>
      <c r="AG1021" s="148"/>
      <c r="AH1021" s="148"/>
      <c r="AI1021" s="148"/>
      <c r="AJ1021" s="148"/>
      <c r="AK1021" s="148"/>
      <c r="AL1021" s="148"/>
      <c r="AM1021" s="148"/>
      <c r="AN1021" s="148"/>
      <c r="AO1021" s="148"/>
      <c r="AP1021" s="148"/>
      <c r="AQ1021" s="148"/>
      <c r="AR1021" s="148"/>
      <c r="AS1021" s="148"/>
      <c r="AT1021" s="148"/>
      <c r="AU1021" s="148"/>
      <c r="AV1021" s="148"/>
      <c r="AW1021" s="148"/>
      <c r="AX1021" s="148"/>
      <c r="AY1021" s="148"/>
      <c r="AZ1021" s="148"/>
    </row>
    <row r="1022" spans="20:52" x14ac:dyDescent="0.45">
      <c r="T1022" s="148"/>
      <c r="U1022" s="148"/>
      <c r="V1022" s="148"/>
      <c r="W1022" s="148"/>
      <c r="X1022" s="148"/>
      <c r="Y1022" s="148"/>
      <c r="Z1022" s="148"/>
      <c r="AA1022" s="148"/>
      <c r="AB1022" s="148"/>
      <c r="AC1022" s="148"/>
      <c r="AD1022" s="148"/>
      <c r="AE1022" s="148"/>
      <c r="AF1022" s="148"/>
      <c r="AG1022" s="148"/>
      <c r="AH1022" s="148"/>
      <c r="AI1022" s="148"/>
      <c r="AJ1022" s="148"/>
      <c r="AK1022" s="148"/>
      <c r="AL1022" s="148"/>
      <c r="AM1022" s="148"/>
      <c r="AN1022" s="148"/>
      <c r="AO1022" s="148"/>
      <c r="AP1022" s="148"/>
      <c r="AQ1022" s="148"/>
      <c r="AR1022" s="148"/>
      <c r="AS1022" s="148"/>
      <c r="AT1022" s="148"/>
      <c r="AU1022" s="148"/>
      <c r="AV1022" s="148"/>
      <c r="AW1022" s="148"/>
      <c r="AX1022" s="148"/>
      <c r="AY1022" s="148"/>
      <c r="AZ1022" s="148"/>
    </row>
    <row r="1023" spans="20:52" x14ac:dyDescent="0.45">
      <c r="T1023" s="148"/>
      <c r="U1023" s="148"/>
      <c r="V1023" s="148"/>
      <c r="W1023" s="148"/>
      <c r="X1023" s="148"/>
      <c r="Y1023" s="148"/>
      <c r="Z1023" s="148"/>
      <c r="AA1023" s="148"/>
      <c r="AB1023" s="148"/>
      <c r="AC1023" s="148"/>
      <c r="AD1023" s="148"/>
      <c r="AE1023" s="148"/>
      <c r="AF1023" s="148"/>
      <c r="AG1023" s="148"/>
      <c r="AH1023" s="148"/>
      <c r="AI1023" s="148"/>
      <c r="AJ1023" s="148"/>
      <c r="AK1023" s="148"/>
      <c r="AL1023" s="148"/>
      <c r="AM1023" s="148"/>
      <c r="AN1023" s="148"/>
      <c r="AO1023" s="148"/>
      <c r="AP1023" s="148"/>
      <c r="AQ1023" s="148"/>
      <c r="AR1023" s="148"/>
      <c r="AS1023" s="148"/>
      <c r="AT1023" s="148"/>
      <c r="AU1023" s="148"/>
      <c r="AV1023" s="148"/>
      <c r="AW1023" s="148"/>
      <c r="AX1023" s="148"/>
      <c r="AY1023" s="148"/>
      <c r="AZ1023" s="148"/>
    </row>
    <row r="1024" spans="20:52" x14ac:dyDescent="0.45">
      <c r="T1024" s="148"/>
      <c r="U1024" s="148"/>
      <c r="V1024" s="148"/>
      <c r="W1024" s="148"/>
      <c r="X1024" s="148"/>
      <c r="Y1024" s="148"/>
      <c r="Z1024" s="148"/>
      <c r="AA1024" s="148"/>
      <c r="AB1024" s="148"/>
      <c r="AC1024" s="148"/>
      <c r="AD1024" s="148"/>
      <c r="AE1024" s="148"/>
      <c r="AF1024" s="148"/>
      <c r="AG1024" s="148"/>
      <c r="AH1024" s="148"/>
      <c r="AI1024" s="148"/>
      <c r="AJ1024" s="148"/>
      <c r="AK1024" s="148"/>
      <c r="AL1024" s="148"/>
      <c r="AM1024" s="148"/>
      <c r="AN1024" s="148"/>
      <c r="AO1024" s="148"/>
      <c r="AP1024" s="148"/>
      <c r="AQ1024" s="148"/>
      <c r="AR1024" s="148"/>
      <c r="AS1024" s="148"/>
      <c r="AT1024" s="148"/>
      <c r="AU1024" s="148"/>
      <c r="AV1024" s="148"/>
      <c r="AW1024" s="148"/>
      <c r="AX1024" s="148"/>
      <c r="AY1024" s="148"/>
      <c r="AZ1024" s="148"/>
    </row>
    <row r="1025" spans="20:52" x14ac:dyDescent="0.45">
      <c r="T1025" s="148"/>
      <c r="U1025" s="148"/>
      <c r="V1025" s="148"/>
      <c r="W1025" s="148"/>
      <c r="X1025" s="148"/>
      <c r="Y1025" s="148"/>
      <c r="Z1025" s="148"/>
      <c r="AA1025" s="148"/>
      <c r="AB1025" s="148"/>
      <c r="AC1025" s="148"/>
      <c r="AD1025" s="148"/>
      <c r="AE1025" s="148"/>
      <c r="AF1025" s="148"/>
      <c r="AG1025" s="148"/>
      <c r="AH1025" s="148"/>
      <c r="AI1025" s="148"/>
      <c r="AJ1025" s="148"/>
      <c r="AK1025" s="148"/>
      <c r="AL1025" s="148"/>
      <c r="AM1025" s="148"/>
      <c r="AN1025" s="148"/>
      <c r="AO1025" s="148"/>
      <c r="AP1025" s="148"/>
      <c r="AQ1025" s="148"/>
      <c r="AR1025" s="148"/>
      <c r="AS1025" s="148"/>
      <c r="AT1025" s="148"/>
      <c r="AU1025" s="148"/>
      <c r="AV1025" s="148"/>
      <c r="AW1025" s="148"/>
      <c r="AX1025" s="148"/>
      <c r="AY1025" s="148"/>
      <c r="AZ1025" s="148"/>
    </row>
    <row r="1026" spans="20:52" x14ac:dyDescent="0.45">
      <c r="T1026" s="148"/>
      <c r="U1026" s="148"/>
      <c r="V1026" s="148"/>
      <c r="W1026" s="148"/>
      <c r="X1026" s="148"/>
      <c r="Y1026" s="148"/>
      <c r="Z1026" s="148"/>
      <c r="AA1026" s="148"/>
      <c r="AB1026" s="148"/>
      <c r="AC1026" s="148"/>
      <c r="AD1026" s="148"/>
      <c r="AE1026" s="148"/>
      <c r="AF1026" s="148"/>
      <c r="AG1026" s="148"/>
      <c r="AH1026" s="148"/>
      <c r="AI1026" s="148"/>
      <c r="AJ1026" s="148"/>
      <c r="AK1026" s="148"/>
      <c r="AL1026" s="148"/>
      <c r="AM1026" s="148"/>
      <c r="AN1026" s="148"/>
      <c r="AO1026" s="148"/>
      <c r="AP1026" s="148"/>
      <c r="AQ1026" s="148"/>
      <c r="AR1026" s="148"/>
      <c r="AS1026" s="148"/>
      <c r="AT1026" s="148"/>
      <c r="AU1026" s="148"/>
      <c r="AV1026" s="148"/>
      <c r="AW1026" s="148"/>
      <c r="AX1026" s="148"/>
      <c r="AY1026" s="148"/>
      <c r="AZ1026" s="148"/>
    </row>
    <row r="1027" spans="20:52" x14ac:dyDescent="0.45">
      <c r="T1027" s="148"/>
      <c r="U1027" s="148"/>
      <c r="V1027" s="148"/>
      <c r="W1027" s="148"/>
      <c r="X1027" s="148"/>
      <c r="Y1027" s="148"/>
      <c r="Z1027" s="148"/>
      <c r="AA1027" s="148"/>
      <c r="AB1027" s="148"/>
      <c r="AC1027" s="148"/>
      <c r="AD1027" s="148"/>
      <c r="AE1027" s="148"/>
      <c r="AF1027" s="148"/>
      <c r="AG1027" s="148"/>
      <c r="AH1027" s="148"/>
      <c r="AI1027" s="148"/>
      <c r="AJ1027" s="148"/>
      <c r="AK1027" s="148"/>
      <c r="AL1027" s="148"/>
      <c r="AM1027" s="148"/>
      <c r="AN1027" s="148"/>
      <c r="AO1027" s="148"/>
      <c r="AP1027" s="148"/>
      <c r="AQ1027" s="148"/>
      <c r="AR1027" s="148"/>
      <c r="AS1027" s="148"/>
      <c r="AT1027" s="148"/>
      <c r="AU1027" s="148"/>
      <c r="AV1027" s="148"/>
      <c r="AW1027" s="148"/>
      <c r="AX1027" s="148"/>
      <c r="AY1027" s="148"/>
      <c r="AZ1027" s="148"/>
    </row>
    <row r="1028" spans="20:52" x14ac:dyDescent="0.45">
      <c r="T1028" s="148"/>
      <c r="U1028" s="148"/>
      <c r="V1028" s="148"/>
      <c r="W1028" s="148"/>
      <c r="X1028" s="148"/>
      <c r="Y1028" s="148"/>
      <c r="Z1028" s="148"/>
      <c r="AA1028" s="148"/>
      <c r="AB1028" s="148"/>
      <c r="AC1028" s="148"/>
      <c r="AD1028" s="148"/>
      <c r="AE1028" s="148"/>
      <c r="AF1028" s="148"/>
      <c r="AG1028" s="148"/>
      <c r="AH1028" s="148"/>
      <c r="AI1028" s="148"/>
      <c r="AJ1028" s="148"/>
      <c r="AK1028" s="148"/>
      <c r="AL1028" s="148"/>
      <c r="AM1028" s="148"/>
      <c r="AN1028" s="148"/>
      <c r="AO1028" s="148"/>
      <c r="AP1028" s="148"/>
      <c r="AQ1028" s="148"/>
      <c r="AR1028" s="148"/>
      <c r="AS1028" s="148"/>
      <c r="AT1028" s="148"/>
      <c r="AU1028" s="148"/>
      <c r="AV1028" s="148"/>
      <c r="AW1028" s="148"/>
      <c r="AX1028" s="148"/>
      <c r="AY1028" s="148"/>
      <c r="AZ1028" s="148"/>
    </row>
    <row r="1029" spans="20:52" x14ac:dyDescent="0.45">
      <c r="T1029" s="148"/>
      <c r="U1029" s="148"/>
      <c r="V1029" s="148"/>
      <c r="W1029" s="148"/>
      <c r="X1029" s="148"/>
      <c r="Y1029" s="148"/>
      <c r="Z1029" s="148"/>
      <c r="AA1029" s="148"/>
      <c r="AB1029" s="148"/>
      <c r="AC1029" s="148"/>
      <c r="AD1029" s="148"/>
      <c r="AE1029" s="148"/>
      <c r="AF1029" s="148"/>
      <c r="AG1029" s="148"/>
      <c r="AH1029" s="148"/>
      <c r="AI1029" s="148"/>
      <c r="AJ1029" s="148"/>
      <c r="AK1029" s="148"/>
      <c r="AL1029" s="148"/>
      <c r="AM1029" s="148"/>
      <c r="AN1029" s="148"/>
      <c r="AO1029" s="148"/>
      <c r="AP1029" s="148"/>
      <c r="AQ1029" s="148"/>
      <c r="AR1029" s="148"/>
      <c r="AS1029" s="148"/>
      <c r="AT1029" s="148"/>
      <c r="AU1029" s="148"/>
      <c r="AV1029" s="148"/>
      <c r="AW1029" s="148"/>
      <c r="AX1029" s="148"/>
      <c r="AY1029" s="148"/>
      <c r="AZ1029" s="148"/>
    </row>
    <row r="1030" spans="20:52" x14ac:dyDescent="0.45">
      <c r="T1030" s="148"/>
      <c r="U1030" s="148"/>
      <c r="V1030" s="148"/>
      <c r="W1030" s="148"/>
      <c r="X1030" s="148"/>
      <c r="Y1030" s="148"/>
      <c r="Z1030" s="148"/>
      <c r="AA1030" s="148"/>
      <c r="AB1030" s="148"/>
      <c r="AC1030" s="148"/>
      <c r="AD1030" s="148"/>
      <c r="AE1030" s="148"/>
      <c r="AF1030" s="148"/>
      <c r="AG1030" s="148"/>
      <c r="AH1030" s="148"/>
      <c r="AI1030" s="148"/>
      <c r="AJ1030" s="148"/>
      <c r="AK1030" s="148"/>
      <c r="AL1030" s="148"/>
      <c r="AM1030" s="148"/>
      <c r="AN1030" s="148"/>
      <c r="AO1030" s="148"/>
      <c r="AP1030" s="148"/>
      <c r="AQ1030" s="148"/>
      <c r="AR1030" s="148"/>
      <c r="AS1030" s="148"/>
      <c r="AT1030" s="148"/>
      <c r="AU1030" s="148"/>
      <c r="AV1030" s="148"/>
      <c r="AW1030" s="148"/>
      <c r="AX1030" s="148"/>
      <c r="AY1030" s="148"/>
      <c r="AZ1030" s="148"/>
    </row>
    <row r="1031" spans="20:52" x14ac:dyDescent="0.45">
      <c r="T1031" s="148"/>
      <c r="U1031" s="148"/>
      <c r="V1031" s="148"/>
      <c r="W1031" s="148"/>
      <c r="X1031" s="148"/>
      <c r="Y1031" s="148"/>
      <c r="Z1031" s="148"/>
      <c r="AA1031" s="148"/>
      <c r="AB1031" s="148"/>
      <c r="AC1031" s="148"/>
      <c r="AD1031" s="148"/>
      <c r="AE1031" s="148"/>
      <c r="AF1031" s="148"/>
      <c r="AG1031" s="148"/>
      <c r="AH1031" s="148"/>
      <c r="AI1031" s="148"/>
      <c r="AJ1031" s="148"/>
      <c r="AK1031" s="148"/>
      <c r="AL1031" s="148"/>
      <c r="AM1031" s="148"/>
      <c r="AN1031" s="148"/>
      <c r="AO1031" s="148"/>
      <c r="AP1031" s="148"/>
      <c r="AQ1031" s="148"/>
      <c r="AR1031" s="148"/>
      <c r="AS1031" s="148"/>
      <c r="AT1031" s="148"/>
      <c r="AU1031" s="148"/>
      <c r="AV1031" s="148"/>
      <c r="AW1031" s="148"/>
      <c r="AX1031" s="148"/>
      <c r="AY1031" s="148"/>
      <c r="AZ1031" s="148"/>
    </row>
    <row r="1032" spans="20:52" x14ac:dyDescent="0.45">
      <c r="T1032" s="148"/>
      <c r="U1032" s="148"/>
      <c r="V1032" s="148"/>
      <c r="W1032" s="148"/>
      <c r="X1032" s="148"/>
      <c r="Y1032" s="148"/>
      <c r="Z1032" s="148"/>
      <c r="AA1032" s="148"/>
      <c r="AB1032" s="148"/>
      <c r="AC1032" s="148"/>
      <c r="AD1032" s="148"/>
      <c r="AE1032" s="148"/>
      <c r="AF1032" s="148"/>
      <c r="AG1032" s="148"/>
      <c r="AH1032" s="148"/>
      <c r="AI1032" s="148"/>
      <c r="AJ1032" s="148"/>
      <c r="AK1032" s="148"/>
      <c r="AL1032" s="148"/>
      <c r="AM1032" s="148"/>
      <c r="AN1032" s="148"/>
      <c r="AO1032" s="148"/>
      <c r="AP1032" s="148"/>
      <c r="AQ1032" s="148"/>
      <c r="AR1032" s="148"/>
      <c r="AS1032" s="148"/>
      <c r="AT1032" s="148"/>
      <c r="AU1032" s="148"/>
      <c r="AV1032" s="148"/>
      <c r="AW1032" s="148"/>
      <c r="AX1032" s="148"/>
      <c r="AY1032" s="148"/>
      <c r="AZ1032" s="148"/>
    </row>
    <row r="1033" spans="20:52" x14ac:dyDescent="0.45">
      <c r="T1033" s="148"/>
      <c r="U1033" s="148"/>
      <c r="V1033" s="148"/>
      <c r="W1033" s="148"/>
      <c r="X1033" s="148"/>
      <c r="Y1033" s="148"/>
      <c r="Z1033" s="148"/>
      <c r="AA1033" s="148"/>
      <c r="AB1033" s="148"/>
      <c r="AC1033" s="148"/>
      <c r="AD1033" s="148"/>
      <c r="AE1033" s="148"/>
      <c r="AF1033" s="148"/>
      <c r="AG1033" s="148"/>
      <c r="AH1033" s="148"/>
      <c r="AI1033" s="148"/>
      <c r="AJ1033" s="148"/>
      <c r="AK1033" s="148"/>
      <c r="AL1033" s="148"/>
      <c r="AM1033" s="148"/>
      <c r="AN1033" s="148"/>
      <c r="AO1033" s="148"/>
      <c r="AP1033" s="148"/>
      <c r="AQ1033" s="148"/>
      <c r="AR1033" s="148"/>
      <c r="AS1033" s="148"/>
      <c r="AT1033" s="148"/>
      <c r="AU1033" s="148"/>
      <c r="AV1033" s="148"/>
      <c r="AW1033" s="148"/>
      <c r="AX1033" s="148"/>
      <c r="AY1033" s="148"/>
      <c r="AZ1033" s="148"/>
    </row>
    <row r="1034" spans="20:52" x14ac:dyDescent="0.45">
      <c r="T1034" s="148"/>
      <c r="U1034" s="148"/>
      <c r="V1034" s="148"/>
      <c r="W1034" s="148"/>
      <c r="X1034" s="148"/>
      <c r="Y1034" s="148"/>
      <c r="Z1034" s="148"/>
      <c r="AA1034" s="148"/>
      <c r="AB1034" s="148"/>
      <c r="AC1034" s="148"/>
      <c r="AD1034" s="148"/>
      <c r="AE1034" s="148"/>
      <c r="AF1034" s="148"/>
      <c r="AG1034" s="148"/>
      <c r="AH1034" s="148"/>
      <c r="AI1034" s="148"/>
      <c r="AJ1034" s="148"/>
      <c r="AK1034" s="148"/>
      <c r="AL1034" s="148"/>
      <c r="AM1034" s="148"/>
      <c r="AN1034" s="148"/>
      <c r="AO1034" s="148"/>
      <c r="AP1034" s="148"/>
      <c r="AQ1034" s="148"/>
      <c r="AR1034" s="148"/>
      <c r="AS1034" s="148"/>
      <c r="AT1034" s="148"/>
      <c r="AU1034" s="148"/>
      <c r="AV1034" s="148"/>
      <c r="AW1034" s="148"/>
      <c r="AX1034" s="148"/>
      <c r="AY1034" s="148"/>
      <c r="AZ1034" s="148"/>
    </row>
    <row r="1035" spans="20:52" x14ac:dyDescent="0.45">
      <c r="T1035" s="148"/>
      <c r="U1035" s="148"/>
      <c r="V1035" s="148"/>
      <c r="W1035" s="148"/>
      <c r="X1035" s="148"/>
      <c r="Y1035" s="148"/>
      <c r="Z1035" s="148"/>
      <c r="AA1035" s="148"/>
      <c r="AB1035" s="148"/>
      <c r="AC1035" s="148"/>
      <c r="AD1035" s="148"/>
      <c r="AE1035" s="148"/>
      <c r="AF1035" s="148"/>
      <c r="AG1035" s="148"/>
      <c r="AH1035" s="148"/>
      <c r="AI1035" s="148"/>
      <c r="AJ1035" s="148"/>
      <c r="AK1035" s="148"/>
      <c r="AL1035" s="148"/>
      <c r="AM1035" s="148"/>
      <c r="AN1035" s="148"/>
      <c r="AO1035" s="148"/>
      <c r="AP1035" s="148"/>
      <c r="AQ1035" s="148"/>
      <c r="AR1035" s="148"/>
      <c r="AS1035" s="148"/>
      <c r="AT1035" s="148"/>
      <c r="AU1035" s="148"/>
      <c r="AV1035" s="148"/>
      <c r="AW1035" s="148"/>
      <c r="AX1035" s="148"/>
      <c r="AY1035" s="148"/>
      <c r="AZ1035" s="148"/>
    </row>
    <row r="1036" spans="20:52" x14ac:dyDescent="0.45">
      <c r="T1036" s="148"/>
      <c r="U1036" s="148"/>
      <c r="V1036" s="148"/>
      <c r="W1036" s="148"/>
      <c r="X1036" s="148"/>
      <c r="Y1036" s="148"/>
      <c r="Z1036" s="148"/>
      <c r="AA1036" s="148"/>
      <c r="AB1036" s="148"/>
      <c r="AC1036" s="148"/>
      <c r="AD1036" s="148"/>
      <c r="AE1036" s="148"/>
      <c r="AF1036" s="148"/>
      <c r="AG1036" s="148"/>
      <c r="AH1036" s="148"/>
      <c r="AI1036" s="148"/>
      <c r="AJ1036" s="148"/>
      <c r="AK1036" s="148"/>
      <c r="AL1036" s="148"/>
      <c r="AM1036" s="148"/>
      <c r="AN1036" s="148"/>
      <c r="AO1036" s="148"/>
      <c r="AP1036" s="148"/>
      <c r="AQ1036" s="148"/>
      <c r="AR1036" s="148"/>
      <c r="AS1036" s="148"/>
      <c r="AT1036" s="148"/>
      <c r="AU1036" s="148"/>
      <c r="AV1036" s="148"/>
      <c r="AW1036" s="148"/>
      <c r="AX1036" s="148"/>
      <c r="AY1036" s="148"/>
      <c r="AZ1036" s="148"/>
    </row>
    <row r="1037" spans="20:52" x14ac:dyDescent="0.45">
      <c r="T1037" s="148"/>
      <c r="U1037" s="148"/>
      <c r="V1037" s="148"/>
      <c r="W1037" s="148"/>
      <c r="X1037" s="148"/>
      <c r="Y1037" s="148"/>
      <c r="Z1037" s="148"/>
      <c r="AA1037" s="148"/>
      <c r="AB1037" s="148"/>
      <c r="AC1037" s="148"/>
      <c r="AD1037" s="148"/>
      <c r="AE1037" s="148"/>
      <c r="AF1037" s="148"/>
      <c r="AG1037" s="148"/>
      <c r="AH1037" s="148"/>
      <c r="AI1037" s="148"/>
      <c r="AJ1037" s="148"/>
      <c r="AK1037" s="148"/>
      <c r="AL1037" s="148"/>
      <c r="AM1037" s="148"/>
      <c r="AN1037" s="148"/>
      <c r="AO1037" s="148"/>
      <c r="AP1037" s="148"/>
      <c r="AQ1037" s="148"/>
      <c r="AR1037" s="148"/>
      <c r="AS1037" s="148"/>
      <c r="AT1037" s="148"/>
      <c r="AU1037" s="148"/>
      <c r="AV1037" s="148"/>
      <c r="AW1037" s="148"/>
      <c r="AX1037" s="148"/>
      <c r="AY1037" s="148"/>
      <c r="AZ1037" s="148"/>
    </row>
    <row r="1038" spans="20:52" x14ac:dyDescent="0.45">
      <c r="T1038" s="148"/>
      <c r="U1038" s="148"/>
      <c r="V1038" s="148"/>
      <c r="W1038" s="148"/>
      <c r="X1038" s="148"/>
      <c r="Y1038" s="148"/>
      <c r="Z1038" s="148"/>
      <c r="AA1038" s="148"/>
      <c r="AB1038" s="148"/>
      <c r="AC1038" s="148"/>
      <c r="AD1038" s="148"/>
      <c r="AE1038" s="148"/>
      <c r="AF1038" s="148"/>
      <c r="AG1038" s="148"/>
      <c r="AH1038" s="148"/>
      <c r="AI1038" s="148"/>
      <c r="AJ1038" s="148"/>
      <c r="AK1038" s="148"/>
      <c r="AL1038" s="148"/>
      <c r="AM1038" s="148"/>
      <c r="AN1038" s="148"/>
      <c r="AO1038" s="148"/>
      <c r="AP1038" s="148"/>
      <c r="AQ1038" s="148"/>
      <c r="AR1038" s="148"/>
      <c r="AS1038" s="148"/>
      <c r="AT1038" s="148"/>
      <c r="AU1038" s="148"/>
      <c r="AV1038" s="148"/>
      <c r="AW1038" s="148"/>
      <c r="AX1038" s="148"/>
      <c r="AY1038" s="148"/>
      <c r="AZ1038" s="148"/>
    </row>
    <row r="1039" spans="20:52" x14ac:dyDescent="0.45">
      <c r="T1039" s="148"/>
      <c r="U1039" s="148"/>
      <c r="V1039" s="148"/>
      <c r="W1039" s="148"/>
      <c r="X1039" s="148"/>
      <c r="Y1039" s="148"/>
      <c r="Z1039" s="148"/>
      <c r="AA1039" s="148"/>
      <c r="AB1039" s="148"/>
      <c r="AC1039" s="148"/>
      <c r="AD1039" s="148"/>
      <c r="AE1039" s="148"/>
      <c r="AF1039" s="148"/>
      <c r="AG1039" s="148"/>
      <c r="AH1039" s="148"/>
      <c r="AI1039" s="148"/>
      <c r="AJ1039" s="148"/>
      <c r="AK1039" s="148"/>
      <c r="AL1039" s="148"/>
      <c r="AM1039" s="148"/>
      <c r="AN1039" s="148"/>
      <c r="AO1039" s="148"/>
      <c r="AP1039" s="148"/>
      <c r="AQ1039" s="148"/>
      <c r="AR1039" s="148"/>
      <c r="AS1039" s="148"/>
      <c r="AT1039" s="148"/>
      <c r="AU1039" s="148"/>
      <c r="AV1039" s="148"/>
      <c r="AW1039" s="148"/>
      <c r="AX1039" s="148"/>
      <c r="AY1039" s="148"/>
      <c r="AZ1039" s="148"/>
    </row>
    <row r="1040" spans="20:52" x14ac:dyDescent="0.45">
      <c r="T1040" s="148"/>
      <c r="U1040" s="148"/>
      <c r="V1040" s="148"/>
      <c r="W1040" s="148"/>
      <c r="X1040" s="148"/>
      <c r="Y1040" s="148"/>
      <c r="Z1040" s="148"/>
      <c r="AA1040" s="148"/>
      <c r="AB1040" s="148"/>
      <c r="AC1040" s="148"/>
      <c r="AD1040" s="148"/>
      <c r="AE1040" s="148"/>
      <c r="AF1040" s="148"/>
      <c r="AG1040" s="148"/>
      <c r="AH1040" s="148"/>
      <c r="AI1040" s="148"/>
      <c r="AJ1040" s="148"/>
      <c r="AK1040" s="148"/>
      <c r="AL1040" s="148"/>
      <c r="AM1040" s="148"/>
      <c r="AN1040" s="148"/>
      <c r="AO1040" s="148"/>
      <c r="AP1040" s="148"/>
      <c r="AQ1040" s="148"/>
      <c r="AR1040" s="148"/>
      <c r="AS1040" s="148"/>
      <c r="AT1040" s="148"/>
      <c r="AU1040" s="148"/>
      <c r="AV1040" s="148"/>
      <c r="AW1040" s="148"/>
      <c r="AX1040" s="148"/>
      <c r="AY1040" s="148"/>
      <c r="AZ1040" s="148"/>
    </row>
    <row r="1041" spans="20:52" x14ac:dyDescent="0.45">
      <c r="T1041" s="148"/>
      <c r="U1041" s="148"/>
      <c r="V1041" s="148"/>
      <c r="W1041" s="148"/>
      <c r="X1041" s="148"/>
      <c r="Y1041" s="148"/>
      <c r="Z1041" s="148"/>
      <c r="AA1041" s="148"/>
      <c r="AB1041" s="148"/>
      <c r="AC1041" s="148"/>
      <c r="AD1041" s="148"/>
      <c r="AE1041" s="148"/>
      <c r="AF1041" s="148"/>
      <c r="AG1041" s="148"/>
      <c r="AH1041" s="148"/>
      <c r="AI1041" s="148"/>
      <c r="AJ1041" s="148"/>
      <c r="AK1041" s="148"/>
      <c r="AL1041" s="148"/>
      <c r="AM1041" s="148"/>
      <c r="AN1041" s="148"/>
      <c r="AO1041" s="148"/>
      <c r="AP1041" s="148"/>
      <c r="AQ1041" s="148"/>
      <c r="AR1041" s="148"/>
      <c r="AS1041" s="148"/>
      <c r="AT1041" s="148"/>
      <c r="AU1041" s="148"/>
      <c r="AV1041" s="148"/>
      <c r="AW1041" s="148"/>
      <c r="AX1041" s="148"/>
      <c r="AY1041" s="148"/>
      <c r="AZ1041" s="148"/>
    </row>
    <row r="1042" spans="20:52" x14ac:dyDescent="0.45">
      <c r="T1042" s="148"/>
      <c r="U1042" s="148"/>
      <c r="V1042" s="148"/>
      <c r="W1042" s="148"/>
      <c r="X1042" s="148"/>
      <c r="Y1042" s="148"/>
      <c r="Z1042" s="148"/>
      <c r="AA1042" s="148"/>
      <c r="AB1042" s="148"/>
      <c r="AC1042" s="148"/>
      <c r="AD1042" s="148"/>
      <c r="AE1042" s="148"/>
      <c r="AF1042" s="148"/>
      <c r="AG1042" s="148"/>
      <c r="AH1042" s="148"/>
      <c r="AI1042" s="148"/>
      <c r="AJ1042" s="148"/>
      <c r="AK1042" s="148"/>
      <c r="AL1042" s="148"/>
      <c r="AM1042" s="148"/>
      <c r="AN1042" s="148"/>
      <c r="AO1042" s="148"/>
      <c r="AP1042" s="148"/>
      <c r="AQ1042" s="148"/>
      <c r="AR1042" s="148"/>
      <c r="AS1042" s="148"/>
      <c r="AT1042" s="148"/>
      <c r="AU1042" s="148"/>
      <c r="AV1042" s="148"/>
      <c r="AW1042" s="148"/>
      <c r="AX1042" s="148"/>
      <c r="AY1042" s="148"/>
      <c r="AZ1042" s="148"/>
    </row>
    <row r="1043" spans="20:52" x14ac:dyDescent="0.45">
      <c r="T1043" s="148"/>
      <c r="U1043" s="148"/>
      <c r="V1043" s="148"/>
      <c r="W1043" s="148"/>
      <c r="X1043" s="148"/>
      <c r="Y1043" s="148"/>
      <c r="Z1043" s="148"/>
      <c r="AA1043" s="148"/>
      <c r="AB1043" s="148"/>
      <c r="AC1043" s="148"/>
      <c r="AD1043" s="148"/>
      <c r="AE1043" s="148"/>
      <c r="AF1043" s="148"/>
      <c r="AG1043" s="148"/>
      <c r="AH1043" s="148"/>
      <c r="AI1043" s="148"/>
      <c r="AJ1043" s="148"/>
      <c r="AK1043" s="148"/>
      <c r="AL1043" s="148"/>
      <c r="AM1043" s="148"/>
      <c r="AN1043" s="148"/>
      <c r="AO1043" s="148"/>
      <c r="AP1043" s="148"/>
      <c r="AQ1043" s="148"/>
      <c r="AR1043" s="148"/>
      <c r="AS1043" s="148"/>
      <c r="AT1043" s="148"/>
      <c r="AU1043" s="148"/>
      <c r="AV1043" s="148"/>
      <c r="AW1043" s="148"/>
      <c r="AX1043" s="148"/>
      <c r="AY1043" s="148"/>
      <c r="AZ1043" s="148"/>
    </row>
    <row r="1044" spans="20:52" x14ac:dyDescent="0.45">
      <c r="T1044" s="148"/>
      <c r="U1044" s="148"/>
      <c r="V1044" s="148"/>
      <c r="W1044" s="148"/>
      <c r="X1044" s="148"/>
      <c r="Y1044" s="148"/>
      <c r="Z1044" s="148"/>
      <c r="AA1044" s="148"/>
      <c r="AB1044" s="148"/>
      <c r="AC1044" s="148"/>
      <c r="AD1044" s="148"/>
      <c r="AE1044" s="148"/>
      <c r="AF1044" s="148"/>
      <c r="AG1044" s="148"/>
      <c r="AH1044" s="148"/>
      <c r="AI1044" s="148"/>
      <c r="AJ1044" s="148"/>
      <c r="AK1044" s="148"/>
      <c r="AL1044" s="148"/>
      <c r="AM1044" s="148"/>
      <c r="AN1044" s="148"/>
      <c r="AO1044" s="148"/>
      <c r="AP1044" s="148"/>
      <c r="AQ1044" s="148"/>
      <c r="AR1044" s="148"/>
      <c r="AS1044" s="148"/>
      <c r="AT1044" s="148"/>
      <c r="AU1044" s="148"/>
      <c r="AV1044" s="148"/>
      <c r="AW1044" s="148"/>
      <c r="AX1044" s="148"/>
      <c r="AY1044" s="148"/>
      <c r="AZ1044" s="148"/>
    </row>
    <row r="1045" spans="20:52" x14ac:dyDescent="0.45">
      <c r="T1045" s="148"/>
      <c r="U1045" s="148"/>
      <c r="V1045" s="148"/>
      <c r="W1045" s="148"/>
      <c r="X1045" s="148"/>
      <c r="Y1045" s="148"/>
      <c r="Z1045" s="148"/>
      <c r="AA1045" s="148"/>
      <c r="AB1045" s="148"/>
      <c r="AC1045" s="148"/>
      <c r="AD1045" s="148"/>
      <c r="AE1045" s="148"/>
      <c r="AF1045" s="148"/>
      <c r="AG1045" s="148"/>
      <c r="AH1045" s="148"/>
      <c r="AI1045" s="148"/>
      <c r="AJ1045" s="148"/>
      <c r="AK1045" s="148"/>
      <c r="AL1045" s="148"/>
      <c r="AM1045" s="148"/>
      <c r="AN1045" s="148"/>
      <c r="AO1045" s="148"/>
      <c r="AP1045" s="148"/>
      <c r="AQ1045" s="148"/>
      <c r="AR1045" s="148"/>
      <c r="AS1045" s="148"/>
      <c r="AT1045" s="148"/>
      <c r="AU1045" s="148"/>
      <c r="AV1045" s="148"/>
      <c r="AW1045" s="148"/>
      <c r="AX1045" s="148"/>
      <c r="AY1045" s="148"/>
      <c r="AZ1045" s="148"/>
    </row>
    <row r="1046" spans="20:52" x14ac:dyDescent="0.45">
      <c r="T1046" s="148"/>
      <c r="U1046" s="148"/>
      <c r="V1046" s="148"/>
      <c r="W1046" s="148"/>
      <c r="X1046" s="148"/>
      <c r="Y1046" s="148"/>
      <c r="Z1046" s="148"/>
      <c r="AA1046" s="148"/>
      <c r="AB1046" s="148"/>
      <c r="AC1046" s="148"/>
      <c r="AD1046" s="148"/>
      <c r="AE1046" s="148"/>
      <c r="AF1046" s="148"/>
      <c r="AG1046" s="148"/>
      <c r="AH1046" s="148"/>
      <c r="AI1046" s="148"/>
      <c r="AJ1046" s="148"/>
      <c r="AK1046" s="148"/>
      <c r="AL1046" s="148"/>
      <c r="AM1046" s="148"/>
      <c r="AN1046" s="148"/>
      <c r="AO1046" s="148"/>
      <c r="AP1046" s="148"/>
      <c r="AQ1046" s="148"/>
      <c r="AR1046" s="148"/>
      <c r="AS1046" s="148"/>
      <c r="AT1046" s="148"/>
      <c r="AU1046" s="148"/>
      <c r="AV1046" s="148"/>
      <c r="AW1046" s="148"/>
      <c r="AX1046" s="148"/>
      <c r="AY1046" s="148"/>
      <c r="AZ1046" s="148"/>
    </row>
    <row r="1047" spans="20:52" x14ac:dyDescent="0.45">
      <c r="T1047" s="148"/>
      <c r="U1047" s="148"/>
      <c r="V1047" s="148"/>
      <c r="W1047" s="148"/>
      <c r="X1047" s="148"/>
      <c r="Y1047" s="148"/>
      <c r="Z1047" s="148"/>
      <c r="AA1047" s="148"/>
      <c r="AB1047" s="148"/>
      <c r="AC1047" s="148"/>
      <c r="AD1047" s="148"/>
      <c r="AE1047" s="148"/>
      <c r="AF1047" s="148"/>
      <c r="AG1047" s="148"/>
      <c r="AH1047" s="148"/>
      <c r="AI1047" s="148"/>
      <c r="AJ1047" s="148"/>
      <c r="AK1047" s="148"/>
      <c r="AL1047" s="148"/>
      <c r="AM1047" s="148"/>
      <c r="AN1047" s="148"/>
      <c r="AO1047" s="148"/>
      <c r="AP1047" s="148"/>
      <c r="AQ1047" s="148"/>
      <c r="AR1047" s="148"/>
      <c r="AS1047" s="148"/>
      <c r="AT1047" s="148"/>
      <c r="AU1047" s="148"/>
      <c r="AV1047" s="148"/>
      <c r="AW1047" s="148"/>
      <c r="AX1047" s="148"/>
      <c r="AY1047" s="148"/>
      <c r="AZ1047" s="148"/>
    </row>
    <row r="1048" spans="20:52" x14ac:dyDescent="0.45">
      <c r="T1048" s="148"/>
      <c r="U1048" s="148"/>
      <c r="V1048" s="148"/>
      <c r="W1048" s="148"/>
      <c r="X1048" s="148"/>
      <c r="Y1048" s="148"/>
      <c r="Z1048" s="148"/>
      <c r="AA1048" s="148"/>
      <c r="AB1048" s="148"/>
      <c r="AC1048" s="148"/>
      <c r="AD1048" s="148"/>
      <c r="AE1048" s="148"/>
      <c r="AF1048" s="148"/>
      <c r="AG1048" s="148"/>
      <c r="AH1048" s="148"/>
      <c r="AI1048" s="148"/>
      <c r="AJ1048" s="148"/>
      <c r="AK1048" s="148"/>
      <c r="AL1048" s="148"/>
      <c r="AM1048" s="148"/>
      <c r="AN1048" s="148"/>
      <c r="AO1048" s="148"/>
      <c r="AP1048" s="148"/>
      <c r="AQ1048" s="148"/>
      <c r="AR1048" s="148"/>
      <c r="AS1048" s="148"/>
      <c r="AT1048" s="148"/>
      <c r="AU1048" s="148"/>
      <c r="AV1048" s="148"/>
      <c r="AW1048" s="148"/>
      <c r="AX1048" s="148"/>
      <c r="AY1048" s="148"/>
      <c r="AZ1048" s="148"/>
    </row>
    <row r="1049" spans="20:52" x14ac:dyDescent="0.45">
      <c r="T1049" s="148"/>
      <c r="U1049" s="148"/>
      <c r="V1049" s="148"/>
      <c r="W1049" s="148"/>
      <c r="X1049" s="148"/>
      <c r="Y1049" s="148"/>
      <c r="Z1049" s="148"/>
      <c r="AA1049" s="148"/>
      <c r="AB1049" s="148"/>
      <c r="AC1049" s="148"/>
      <c r="AD1049" s="148"/>
      <c r="AE1049" s="148"/>
      <c r="AF1049" s="148"/>
      <c r="AG1049" s="148"/>
      <c r="AH1049" s="148"/>
      <c r="AI1049" s="148"/>
      <c r="AJ1049" s="148"/>
      <c r="AK1049" s="148"/>
      <c r="AL1049" s="148"/>
      <c r="AM1049" s="148"/>
      <c r="AN1049" s="148"/>
      <c r="AO1049" s="148"/>
      <c r="AP1049" s="148"/>
      <c r="AQ1049" s="148"/>
      <c r="AR1049" s="148"/>
      <c r="AS1049" s="148"/>
      <c r="AT1049" s="148"/>
      <c r="AU1049" s="148"/>
      <c r="AV1049" s="148"/>
      <c r="AW1049" s="148"/>
      <c r="AX1049" s="148"/>
      <c r="AY1049" s="148"/>
      <c r="AZ1049" s="148"/>
    </row>
    <row r="1050" spans="20:52" x14ac:dyDescent="0.45">
      <c r="T1050" s="148"/>
      <c r="U1050" s="148"/>
      <c r="V1050" s="148"/>
      <c r="W1050" s="148"/>
      <c r="X1050" s="148"/>
      <c r="Y1050" s="148"/>
      <c r="Z1050" s="148"/>
      <c r="AA1050" s="148"/>
      <c r="AB1050" s="148"/>
      <c r="AC1050" s="148"/>
      <c r="AD1050" s="148"/>
      <c r="AE1050" s="148"/>
      <c r="AF1050" s="148"/>
      <c r="AG1050" s="148"/>
      <c r="AH1050" s="148"/>
      <c r="AI1050" s="148"/>
      <c r="AJ1050" s="148"/>
      <c r="AK1050" s="148"/>
      <c r="AL1050" s="148"/>
      <c r="AM1050" s="148"/>
      <c r="AN1050" s="148"/>
      <c r="AO1050" s="148"/>
      <c r="AP1050" s="148"/>
      <c r="AQ1050" s="148"/>
      <c r="AR1050" s="148"/>
      <c r="AS1050" s="148"/>
      <c r="AT1050" s="148"/>
      <c r="AU1050" s="148"/>
      <c r="AV1050" s="148"/>
      <c r="AW1050" s="148"/>
      <c r="AX1050" s="148"/>
      <c r="AY1050" s="148"/>
      <c r="AZ1050" s="148"/>
    </row>
    <row r="1051" spans="20:52" x14ac:dyDescent="0.45">
      <c r="T1051" s="148"/>
      <c r="U1051" s="148"/>
      <c r="V1051" s="148"/>
      <c r="W1051" s="148"/>
      <c r="X1051" s="148"/>
      <c r="Y1051" s="148"/>
      <c r="Z1051" s="148"/>
      <c r="AA1051" s="148"/>
      <c r="AB1051" s="148"/>
      <c r="AC1051" s="148"/>
      <c r="AD1051" s="148"/>
      <c r="AE1051" s="148"/>
      <c r="AF1051" s="148"/>
      <c r="AG1051" s="148"/>
      <c r="AH1051" s="148"/>
      <c r="AI1051" s="148"/>
      <c r="AJ1051" s="148"/>
      <c r="AK1051" s="148"/>
      <c r="AL1051" s="148"/>
      <c r="AM1051" s="148"/>
      <c r="AN1051" s="148"/>
      <c r="AO1051" s="148"/>
      <c r="AP1051" s="148"/>
      <c r="AQ1051" s="148"/>
      <c r="AR1051" s="148"/>
      <c r="AS1051" s="148"/>
      <c r="AT1051" s="148"/>
      <c r="AU1051" s="148"/>
      <c r="AV1051" s="148"/>
      <c r="AW1051" s="148"/>
      <c r="AX1051" s="148"/>
      <c r="AY1051" s="148"/>
      <c r="AZ1051" s="148"/>
    </row>
    <row r="1052" spans="20:52" x14ac:dyDescent="0.45">
      <c r="T1052" s="148"/>
      <c r="U1052" s="148"/>
      <c r="V1052" s="148"/>
      <c r="W1052" s="148"/>
      <c r="X1052" s="148"/>
      <c r="Y1052" s="148"/>
      <c r="Z1052" s="148"/>
      <c r="AA1052" s="148"/>
      <c r="AB1052" s="148"/>
      <c r="AC1052" s="148"/>
      <c r="AD1052" s="148"/>
      <c r="AE1052" s="148"/>
      <c r="AF1052" s="148"/>
      <c r="AG1052" s="148"/>
      <c r="AH1052" s="148"/>
      <c r="AI1052" s="148"/>
      <c r="AJ1052" s="148"/>
      <c r="AK1052" s="148"/>
      <c r="AL1052" s="148"/>
      <c r="AM1052" s="148"/>
      <c r="AN1052" s="148"/>
      <c r="AO1052" s="148"/>
      <c r="AP1052" s="148"/>
      <c r="AQ1052" s="148"/>
      <c r="AR1052" s="148"/>
      <c r="AS1052" s="148"/>
      <c r="AT1052" s="148"/>
      <c r="AU1052" s="148"/>
      <c r="AV1052" s="148"/>
      <c r="AW1052" s="148"/>
      <c r="AX1052" s="148"/>
      <c r="AY1052" s="148"/>
      <c r="AZ1052" s="148"/>
    </row>
    <row r="1053" spans="20:52" x14ac:dyDescent="0.45">
      <c r="T1053" s="148"/>
      <c r="U1053" s="148"/>
      <c r="V1053" s="148"/>
      <c r="W1053" s="148"/>
      <c r="X1053" s="148"/>
      <c r="Y1053" s="148"/>
      <c r="Z1053" s="148"/>
      <c r="AA1053" s="148"/>
      <c r="AB1053" s="148"/>
      <c r="AC1053" s="148"/>
      <c r="AD1053" s="148"/>
      <c r="AE1053" s="148"/>
      <c r="AF1053" s="148"/>
      <c r="AG1053" s="148"/>
      <c r="AH1053" s="148"/>
      <c r="AI1053" s="148"/>
      <c r="AJ1053" s="148"/>
      <c r="AK1053" s="148"/>
      <c r="AL1053" s="148"/>
      <c r="AM1053" s="148"/>
      <c r="AN1053" s="148"/>
      <c r="AO1053" s="148"/>
      <c r="AP1053" s="148"/>
      <c r="AQ1053" s="148"/>
      <c r="AR1053" s="148"/>
      <c r="AS1053" s="148"/>
      <c r="AT1053" s="148"/>
      <c r="AU1053" s="148"/>
      <c r="AV1053" s="148"/>
      <c r="AW1053" s="148"/>
      <c r="AX1053" s="148"/>
      <c r="AY1053" s="148"/>
      <c r="AZ1053" s="148"/>
    </row>
    <row r="1054" spans="20:52" x14ac:dyDescent="0.45">
      <c r="T1054" s="148"/>
      <c r="U1054" s="148"/>
      <c r="V1054" s="148"/>
      <c r="W1054" s="148"/>
      <c r="X1054" s="148"/>
      <c r="Y1054" s="148"/>
      <c r="Z1054" s="148"/>
      <c r="AA1054" s="148"/>
      <c r="AB1054" s="148"/>
      <c r="AC1054" s="148"/>
      <c r="AD1054" s="148"/>
      <c r="AE1054" s="148"/>
      <c r="AF1054" s="148"/>
      <c r="AG1054" s="148"/>
      <c r="AH1054" s="148"/>
      <c r="AI1054" s="148"/>
      <c r="AJ1054" s="148"/>
      <c r="AK1054" s="148"/>
      <c r="AL1054" s="148"/>
      <c r="AM1054" s="148"/>
      <c r="AN1054" s="148"/>
      <c r="AO1054" s="148"/>
      <c r="AP1054" s="148"/>
      <c r="AQ1054" s="148"/>
      <c r="AR1054" s="148"/>
      <c r="AS1054" s="148"/>
      <c r="AT1054" s="148"/>
      <c r="AU1054" s="148"/>
      <c r="AV1054" s="148"/>
      <c r="AW1054" s="148"/>
      <c r="AX1054" s="148"/>
      <c r="AY1054" s="148"/>
      <c r="AZ1054" s="148"/>
    </row>
    <row r="1055" spans="20:52" x14ac:dyDescent="0.45">
      <c r="T1055" s="148"/>
      <c r="U1055" s="148"/>
      <c r="V1055" s="148"/>
      <c r="W1055" s="148"/>
      <c r="X1055" s="148"/>
      <c r="Y1055" s="148"/>
      <c r="Z1055" s="148"/>
      <c r="AA1055" s="148"/>
      <c r="AB1055" s="148"/>
      <c r="AC1055" s="148"/>
      <c r="AD1055" s="148"/>
      <c r="AE1055" s="148"/>
      <c r="AF1055" s="148"/>
      <c r="AG1055" s="148"/>
      <c r="AH1055" s="148"/>
      <c r="AI1055" s="148"/>
      <c r="AJ1055" s="148"/>
      <c r="AK1055" s="148"/>
      <c r="AL1055" s="148"/>
      <c r="AM1055" s="148"/>
      <c r="AN1055" s="148"/>
      <c r="AO1055" s="148"/>
      <c r="AP1055" s="148"/>
      <c r="AQ1055" s="148"/>
      <c r="AR1055" s="148"/>
      <c r="AS1055" s="148"/>
      <c r="AT1055" s="148"/>
      <c r="AU1055" s="148"/>
      <c r="AV1055" s="148"/>
      <c r="AW1055" s="148"/>
      <c r="AX1055" s="148"/>
      <c r="AY1055" s="148"/>
      <c r="AZ1055" s="148"/>
    </row>
    <row r="1056" spans="20:52" x14ac:dyDescent="0.45">
      <c r="T1056" s="148"/>
      <c r="U1056" s="148"/>
      <c r="V1056" s="148"/>
      <c r="W1056" s="148"/>
      <c r="X1056" s="148"/>
      <c r="Y1056" s="148"/>
      <c r="Z1056" s="148"/>
      <c r="AA1056" s="148"/>
      <c r="AB1056" s="148"/>
      <c r="AC1056" s="148"/>
      <c r="AD1056" s="148"/>
      <c r="AE1056" s="148"/>
      <c r="AF1056" s="148"/>
      <c r="AG1056" s="148"/>
      <c r="AH1056" s="148"/>
      <c r="AI1056" s="148"/>
      <c r="AJ1056" s="148"/>
      <c r="AK1056" s="148"/>
      <c r="AL1056" s="148"/>
      <c r="AM1056" s="148"/>
      <c r="AN1056" s="148"/>
      <c r="AO1056" s="148"/>
      <c r="AP1056" s="148"/>
      <c r="AQ1056" s="148"/>
      <c r="AR1056" s="148"/>
      <c r="AS1056" s="148"/>
      <c r="AT1056" s="148"/>
      <c r="AU1056" s="148"/>
      <c r="AV1056" s="148"/>
      <c r="AW1056" s="148"/>
      <c r="AX1056" s="148"/>
      <c r="AY1056" s="148"/>
      <c r="AZ1056" s="148"/>
    </row>
    <row r="1057" spans="20:52" x14ac:dyDescent="0.45">
      <c r="T1057" s="148"/>
      <c r="U1057" s="148"/>
      <c r="V1057" s="148"/>
      <c r="W1057" s="148"/>
      <c r="X1057" s="148"/>
      <c r="Y1057" s="148"/>
      <c r="Z1057" s="148"/>
      <c r="AA1057" s="148"/>
      <c r="AB1057" s="148"/>
      <c r="AC1057" s="148"/>
      <c r="AD1057" s="148"/>
      <c r="AE1057" s="148"/>
      <c r="AF1057" s="148"/>
      <c r="AG1057" s="148"/>
      <c r="AH1057" s="148"/>
      <c r="AI1057" s="148"/>
      <c r="AJ1057" s="148"/>
      <c r="AK1057" s="148"/>
      <c r="AL1057" s="148"/>
      <c r="AM1057" s="148"/>
      <c r="AN1057" s="148"/>
      <c r="AO1057" s="148"/>
      <c r="AP1057" s="148"/>
      <c r="AQ1057" s="148"/>
      <c r="AR1057" s="148"/>
      <c r="AS1057" s="148"/>
      <c r="AT1057" s="148"/>
      <c r="AU1057" s="148"/>
      <c r="AV1057" s="148"/>
      <c r="AW1057" s="148"/>
      <c r="AX1057" s="148"/>
      <c r="AY1057" s="148"/>
      <c r="AZ1057" s="148"/>
    </row>
    <row r="1058" spans="20:52" x14ac:dyDescent="0.45">
      <c r="T1058" s="148"/>
      <c r="U1058" s="148"/>
      <c r="V1058" s="148"/>
      <c r="W1058" s="148"/>
      <c r="X1058" s="148"/>
      <c r="Y1058" s="148"/>
      <c r="Z1058" s="148"/>
      <c r="AA1058" s="148"/>
      <c r="AB1058" s="148"/>
      <c r="AC1058" s="148"/>
      <c r="AD1058" s="148"/>
      <c r="AE1058" s="148"/>
      <c r="AF1058" s="148"/>
      <c r="AG1058" s="148"/>
      <c r="AH1058" s="148"/>
      <c r="AI1058" s="148"/>
      <c r="AJ1058" s="148"/>
      <c r="AK1058" s="148"/>
      <c r="AL1058" s="148"/>
      <c r="AM1058" s="148"/>
      <c r="AN1058" s="148"/>
      <c r="AO1058" s="148"/>
      <c r="AP1058" s="148"/>
      <c r="AQ1058" s="148"/>
      <c r="AR1058" s="148"/>
      <c r="AS1058" s="148"/>
      <c r="AT1058" s="148"/>
      <c r="AU1058" s="148"/>
      <c r="AV1058" s="148"/>
      <c r="AW1058" s="148"/>
      <c r="AX1058" s="148"/>
      <c r="AY1058" s="148"/>
      <c r="AZ1058" s="148"/>
    </row>
  </sheetData>
  <sheetProtection algorithmName="SHA-512" hashValue="9J5z15T7KiuEQkcAF0ZejBYO0VRKOww1a8VWNb5E5VOW1RCxZZggf8JpXCFBPvYkSTj4qwrX1RiS5wPJFXSmqg==" saltValue="gwYBnb9+NCRw6T/KjqhyhA==" spinCount="100000" sheet="1" insertColumns="0" pivotTables="0"/>
  <mergeCells count="287">
    <mergeCell ref="P144:R145"/>
    <mergeCell ref="M324:O325"/>
    <mergeCell ref="P324:R325"/>
    <mergeCell ref="A72:A73"/>
    <mergeCell ref="G371:G372"/>
    <mergeCell ref="H371:H372"/>
    <mergeCell ref="I371:I372"/>
    <mergeCell ref="J371:J372"/>
    <mergeCell ref="K371:K372"/>
    <mergeCell ref="J122:K122"/>
    <mergeCell ref="J123:K123"/>
    <mergeCell ref="J124:K124"/>
    <mergeCell ref="J126:K126"/>
    <mergeCell ref="J127:K127"/>
    <mergeCell ref="B121:C121"/>
    <mergeCell ref="J121:K121"/>
    <mergeCell ref="B118:C118"/>
    <mergeCell ref="B119:C119"/>
    <mergeCell ref="B120:C120"/>
    <mergeCell ref="J118:K118"/>
    <mergeCell ref="J119:K119"/>
    <mergeCell ref="J120:K120"/>
    <mergeCell ref="E328:G328"/>
    <mergeCell ref="A328:A329"/>
    <mergeCell ref="B328:D328"/>
    <mergeCell ref="B532:M532"/>
    <mergeCell ref="B533:M533"/>
    <mergeCell ref="B534:M534"/>
    <mergeCell ref="B535:M535"/>
    <mergeCell ref="B536:M536"/>
    <mergeCell ref="B526:M526"/>
    <mergeCell ref="B527:M527"/>
    <mergeCell ref="B528:M528"/>
    <mergeCell ref="B529:M529"/>
    <mergeCell ref="B530:M530"/>
    <mergeCell ref="B531:M531"/>
    <mergeCell ref="B520:M520"/>
    <mergeCell ref="B521:M521"/>
    <mergeCell ref="B522:M522"/>
    <mergeCell ref="B523:M523"/>
    <mergeCell ref="B524:M524"/>
    <mergeCell ref="B525:M525"/>
    <mergeCell ref="B514:M514"/>
    <mergeCell ref="B515:M515"/>
    <mergeCell ref="B516:M516"/>
    <mergeCell ref="B517:M517"/>
    <mergeCell ref="B518:M518"/>
    <mergeCell ref="B519:M519"/>
    <mergeCell ref="D50:H50"/>
    <mergeCell ref="D52:H52"/>
    <mergeCell ref="C348:D348"/>
    <mergeCell ref="C287:D287"/>
    <mergeCell ref="Q43:R43"/>
    <mergeCell ref="Q46:R46"/>
    <mergeCell ref="Q48:R48"/>
    <mergeCell ref="Q50:R50"/>
    <mergeCell ref="C285:D285"/>
    <mergeCell ref="C346:D346"/>
    <mergeCell ref="C347:D347"/>
    <mergeCell ref="F312:G312"/>
    <mergeCell ref="C282:D282"/>
    <mergeCell ref="C283:D283"/>
    <mergeCell ref="F313:G313"/>
    <mergeCell ref="H327:K327"/>
    <mergeCell ref="D313:E313"/>
    <mergeCell ref="C286:D286"/>
    <mergeCell ref="H340:N341"/>
    <mergeCell ref="O313:Q314"/>
    <mergeCell ref="L323:R323"/>
    <mergeCell ref="A327:G327"/>
    <mergeCell ref="Q53:R53"/>
    <mergeCell ref="Q55:R55"/>
    <mergeCell ref="G580:H580"/>
    <mergeCell ref="G554:H554"/>
    <mergeCell ref="G555:H555"/>
    <mergeCell ref="G573:H573"/>
    <mergeCell ref="G574:H574"/>
    <mergeCell ref="C349:D349"/>
    <mergeCell ref="G576:H576"/>
    <mergeCell ref="B505:M505"/>
    <mergeCell ref="B506:M506"/>
    <mergeCell ref="B507:M507"/>
    <mergeCell ref="G577:H577"/>
    <mergeCell ref="C350:D350"/>
    <mergeCell ref="B512:M512"/>
    <mergeCell ref="B513:M513"/>
    <mergeCell ref="K469:O469"/>
    <mergeCell ref="K409:O409"/>
    <mergeCell ref="K410:O410"/>
    <mergeCell ref="K463:O463"/>
    <mergeCell ref="K464:O464"/>
    <mergeCell ref="K394:O394"/>
    <mergeCell ref="K395:O395"/>
    <mergeCell ref="K396:O396"/>
    <mergeCell ref="K397:O397"/>
    <mergeCell ref="K398:O398"/>
    <mergeCell ref="O554:P554"/>
    <mergeCell ref="K400:O400"/>
    <mergeCell ref="K401:O401"/>
    <mergeCell ref="K402:O402"/>
    <mergeCell ref="C351:D351"/>
    <mergeCell ref="B508:M508"/>
    <mergeCell ref="B509:M509"/>
    <mergeCell ref="B510:M510"/>
    <mergeCell ref="B511:M511"/>
    <mergeCell ref="A395:F395"/>
    <mergeCell ref="A396:F396"/>
    <mergeCell ref="A397:F397"/>
    <mergeCell ref="N379:O379"/>
    <mergeCell ref="L371:L372"/>
    <mergeCell ref="M371:M372"/>
    <mergeCell ref="A394:F394"/>
    <mergeCell ref="K404:O404"/>
    <mergeCell ref="L554:M554"/>
    <mergeCell ref="K405:O405"/>
    <mergeCell ref="K406:O406"/>
    <mergeCell ref="K407:O407"/>
    <mergeCell ref="K465:O465"/>
    <mergeCell ref="K467:O467"/>
    <mergeCell ref="K468:O468"/>
    <mergeCell ref="K485:O485"/>
    <mergeCell ref="K486:O486"/>
    <mergeCell ref="K475:O475"/>
    <mergeCell ref="K476:O476"/>
    <mergeCell ref="K477:O477"/>
    <mergeCell ref="K478:O478"/>
    <mergeCell ref="K479:O479"/>
    <mergeCell ref="K481:O481"/>
    <mergeCell ref="K482:O482"/>
    <mergeCell ref="K483:O483"/>
    <mergeCell ref="K484:O484"/>
    <mergeCell ref="K480:O480"/>
    <mergeCell ref="K494:O494"/>
    <mergeCell ref="K495:O495"/>
    <mergeCell ref="K496:O496"/>
    <mergeCell ref="K487:O487"/>
    <mergeCell ref="K488:O488"/>
    <mergeCell ref="K489:O489"/>
    <mergeCell ref="K490:O490"/>
    <mergeCell ref="K491:O491"/>
    <mergeCell ref="K492:O492"/>
    <mergeCell ref="K493:O493"/>
    <mergeCell ref="K472:O472"/>
    <mergeCell ref="K473:O473"/>
    <mergeCell ref="K474:O474"/>
    <mergeCell ref="K466:O466"/>
    <mergeCell ref="K470:O470"/>
    <mergeCell ref="K471:O471"/>
    <mergeCell ref="A408:F408"/>
    <mergeCell ref="G12:H12"/>
    <mergeCell ref="G13:H13"/>
    <mergeCell ref="G14:H14"/>
    <mergeCell ref="G15:H15"/>
    <mergeCell ref="G16:J16"/>
    <mergeCell ref="C274:D274"/>
    <mergeCell ref="D48:H48"/>
    <mergeCell ref="C270:D270"/>
    <mergeCell ref="D46:H46"/>
    <mergeCell ref="G87:G88"/>
    <mergeCell ref="C269:D269"/>
    <mergeCell ref="C271:D271"/>
    <mergeCell ref="C284:D284"/>
    <mergeCell ref="C272:D272"/>
    <mergeCell ref="C273:D273"/>
    <mergeCell ref="K408:O408"/>
    <mergeCell ref="D312:E312"/>
    <mergeCell ref="A404:F404"/>
    <mergeCell ref="A405:F405"/>
    <mergeCell ref="A406:F406"/>
    <mergeCell ref="A487:F487"/>
    <mergeCell ref="A488:F488"/>
    <mergeCell ref="A464:F464"/>
    <mergeCell ref="A465:F465"/>
    <mergeCell ref="A466:F466"/>
    <mergeCell ref="A467:F467"/>
    <mergeCell ref="A468:F468"/>
    <mergeCell ref="A469:F469"/>
    <mergeCell ref="A470:F470"/>
    <mergeCell ref="A474:F474"/>
    <mergeCell ref="A475:F475"/>
    <mergeCell ref="A476:F476"/>
    <mergeCell ref="A477:F477"/>
    <mergeCell ref="A478:F478"/>
    <mergeCell ref="A432:F432"/>
    <mergeCell ref="A440:F440"/>
    <mergeCell ref="A445:F445"/>
    <mergeCell ref="A450:F450"/>
    <mergeCell ref="A423:F423"/>
    <mergeCell ref="A428:F428"/>
    <mergeCell ref="A437:F437"/>
    <mergeCell ref="A494:F494"/>
    <mergeCell ref="A495:F495"/>
    <mergeCell ref="A490:F490"/>
    <mergeCell ref="A491:F491"/>
    <mergeCell ref="A492:F492"/>
    <mergeCell ref="A489:F489"/>
    <mergeCell ref="A496:F496"/>
    <mergeCell ref="A480:F480"/>
    <mergeCell ref="A481:F481"/>
    <mergeCell ref="A482:F482"/>
    <mergeCell ref="A483:F483"/>
    <mergeCell ref="A484:F484"/>
    <mergeCell ref="A485:F485"/>
    <mergeCell ref="A486:F486"/>
    <mergeCell ref="A493:F493"/>
    <mergeCell ref="Q58:R58"/>
    <mergeCell ref="Q60:R60"/>
    <mergeCell ref="Q62:R62"/>
    <mergeCell ref="Q63:R63"/>
    <mergeCell ref="J125:K125"/>
    <mergeCell ref="A479:F479"/>
    <mergeCell ref="A398:F398"/>
    <mergeCell ref="A399:F399"/>
    <mergeCell ref="A400:F400"/>
    <mergeCell ref="A401:F401"/>
    <mergeCell ref="A402:F402"/>
    <mergeCell ref="A403:F403"/>
    <mergeCell ref="A409:F409"/>
    <mergeCell ref="A410:F410"/>
    <mergeCell ref="A463:F463"/>
    <mergeCell ref="K399:O399"/>
    <mergeCell ref="K403:O403"/>
    <mergeCell ref="A407:F407"/>
    <mergeCell ref="A471:F471"/>
    <mergeCell ref="A472:F472"/>
    <mergeCell ref="A473:F473"/>
    <mergeCell ref="A434:F434"/>
    <mergeCell ref="K423:O423"/>
    <mergeCell ref="A424:F424"/>
    <mergeCell ref="K424:O424"/>
    <mergeCell ref="A425:F425"/>
    <mergeCell ref="K425:O425"/>
    <mergeCell ref="A426:F426"/>
    <mergeCell ref="K426:O426"/>
    <mergeCell ref="A427:F427"/>
    <mergeCell ref="A418:F418"/>
    <mergeCell ref="K418:O418"/>
    <mergeCell ref="A419:F419"/>
    <mergeCell ref="K419:O419"/>
    <mergeCell ref="A420:F420"/>
    <mergeCell ref="K420:O420"/>
    <mergeCell ref="A421:F421"/>
    <mergeCell ref="K421:O421"/>
    <mergeCell ref="A422:F422"/>
    <mergeCell ref="K422:O422"/>
    <mergeCell ref="K427:O427"/>
    <mergeCell ref="K428:O428"/>
    <mergeCell ref="A429:F429"/>
    <mergeCell ref="K429:O429"/>
    <mergeCell ref="A430:F430"/>
    <mergeCell ref="K430:O430"/>
    <mergeCell ref="A431:F431"/>
    <mergeCell ref="K431:O431"/>
    <mergeCell ref="K432:O432"/>
    <mergeCell ref="A433:F433"/>
    <mergeCell ref="K433:O433"/>
    <mergeCell ref="K437:O437"/>
    <mergeCell ref="A438:F438"/>
    <mergeCell ref="K438:O438"/>
    <mergeCell ref="A439:F439"/>
    <mergeCell ref="K439:O439"/>
    <mergeCell ref="K434:O434"/>
    <mergeCell ref="A435:F435"/>
    <mergeCell ref="K435:O435"/>
    <mergeCell ref="A436:F436"/>
    <mergeCell ref="K436:O436"/>
    <mergeCell ref="K440:O440"/>
    <mergeCell ref="A441:F441"/>
    <mergeCell ref="K441:O441"/>
    <mergeCell ref="A442:F442"/>
    <mergeCell ref="K442:O442"/>
    <mergeCell ref="A443:F443"/>
    <mergeCell ref="K443:O443"/>
    <mergeCell ref="A444:F444"/>
    <mergeCell ref="K444:O444"/>
    <mergeCell ref="K450:O450"/>
    <mergeCell ref="A451:F451"/>
    <mergeCell ref="K451:O451"/>
    <mergeCell ref="K445:O445"/>
    <mergeCell ref="A446:F446"/>
    <mergeCell ref="K446:O446"/>
    <mergeCell ref="A447:F447"/>
    <mergeCell ref="K447:O447"/>
    <mergeCell ref="A448:F448"/>
    <mergeCell ref="K448:O448"/>
    <mergeCell ref="A449:F449"/>
    <mergeCell ref="K449:O449"/>
  </mergeCells>
  <phoneticPr fontId="0" type="noConversion"/>
  <dataValidations count="1">
    <dataValidation type="list" allowBlank="1" showInputMessage="1" showErrorMessage="1" promptTitle="HUOM!" prompt="Valitse pudotusvali-kosta haitta%" sqref="I394:I410 I463:I496 R463:R496 R394:R410 I418:I451 R418:R451" xr:uid="{00000000-0002-0000-0000-000000000000}">
      <formula1>$A$585:$A$635</formula1>
    </dataValidation>
  </dataValidations>
  <hyperlinks>
    <hyperlink ref="J69" location="Etusivu!A1" tooltip="Tästä pääset etusivulle" display="Etusivu" xr:uid="{00000000-0004-0000-0000-000000000000}"/>
    <hyperlink ref="J141" location="Etusivu!A1" tooltip="Tästä pääset etusivulle" display="Etusivu" xr:uid="{00000000-0004-0000-0000-000001000000}"/>
    <hyperlink ref="J176" location="Etusivu!A1" tooltip="Tästä pääset etusivulle" display="Etusivu" xr:uid="{00000000-0004-0000-0000-000002000000}"/>
    <hyperlink ref="J217" location="Etusivu!A1" tooltip="Tästä pääset etusivulle" display="Etusivu" xr:uid="{00000000-0004-0000-0000-000003000000}"/>
    <hyperlink ref="J260" location="Etusivu!A1" tooltip="Tästä pääset etusivulle" display="Etusivu" xr:uid="{00000000-0004-0000-0000-000004000000}"/>
    <hyperlink ref="J302" location="Etusivu!A1" tooltip="Tästä pääset etusivulle" display="Etusivu" xr:uid="{00000000-0004-0000-0000-000005000000}"/>
    <hyperlink ref="J345" location="Etusivu!A1" tooltip="Tästä pääset etusivulle" display="Etusivu" xr:uid="{00000000-0004-0000-0000-000006000000}"/>
    <hyperlink ref="M382" location="Etusivu!A1" tooltip="Tästä pääset etusivulle" display="Etusivu" xr:uid="{00000000-0004-0000-0000-000007000000}"/>
    <hyperlink ref="N502" location="Etusivu!A1" tooltip="Tästä pääset etusivulle" display="Etusivu" xr:uid="{00000000-0004-0000-0000-000009000000}"/>
    <hyperlink ref="M545" location="Etusivu!A1" tooltip="Tästä pääset etusivulle" display="Etusivu" xr:uid="{00000000-0004-0000-0000-00000A000000}"/>
    <hyperlink ref="J34" location="Etusivu!A1" tooltip="Tästä pääset etusivulle" display="Etusivu" xr:uid="{00000000-0004-0000-0000-00000B000000}"/>
    <hyperlink ref="A5:C5" location="Etusivu!A101" tooltip=" " display="Pyöreät kanavat ja osat" xr:uid="{00000000-0004-0000-0000-00000C000000}"/>
    <hyperlink ref="A5:D5" location="Etusivu!A101" tooltip=" " display="Pyöreät kanavat ja osat" xr:uid="{00000000-0004-0000-0000-00000E000000}"/>
    <hyperlink ref="A6:D6" location="Etusivu!A137" tooltip=" " display="Tarkastusluukku, ulkosäleiköt" xr:uid="{00000000-0004-0000-0000-00000F000000}"/>
    <hyperlink ref="A7:D7" location="Etusivu!A172" tooltip=" " display="Suorakaidekanavat" xr:uid="{00000000-0004-0000-0000-000010000000}"/>
    <hyperlink ref="A8:B8" location="Etusivu!A254" tooltip=" " display="Venttiilit" xr:uid="{00000000-0004-0000-0000-000011000000}"/>
    <hyperlink ref="A9:D9" location="Etusivu!A297" tooltip="  " display="Ilmanvaihtokoneet, koneosat " xr:uid="{00000000-0004-0000-0000-000012000000}"/>
    <hyperlink ref="A10:B10" location="Etusivu!A338" tooltip=" " display="Pienkojeet" xr:uid="{00000000-0004-0000-0000-000013000000}"/>
    <hyperlink ref="A11:D11" location="Etusivu!A338" tooltip=" " display="Lämminilmakojeet, jäähdytyspalkit" xr:uid="{00000000-0004-0000-0000-000014000000}"/>
    <hyperlink ref="A12:C12" location="Etusivu!A379" tooltip=" " display="Aksiaalipuhaltimet" xr:uid="{00000000-0004-0000-0000-000015000000}"/>
    <hyperlink ref="A13:D13" location="Etusivu!A380" tooltip=" " display="Huippuimuri, LV-Piippu" xr:uid="{00000000-0004-0000-0000-000016000000}"/>
    <hyperlink ref="A14:D14" location="Etusivu!A413" tooltip=" " display="Vaativuus, olosuhdelisät" xr:uid="{00000000-0004-0000-0000-000017000000}"/>
    <hyperlink ref="A14:C14" location="Etusivu!A412" tooltip=" " display="Vaativuus, olosuhdelisät" xr:uid="{00000000-0004-0000-0000-000018000000}"/>
    <hyperlink ref="A15:C15" location="Etusivu!A492" tooltip=" " display="Normitunteina sovitut" xr:uid="{00000000-0004-0000-0000-000019000000}"/>
    <hyperlink ref="A16:B16" location="Etusivu!A536" tooltip=" " display="Osien teko" xr:uid="{00000000-0004-0000-0000-00001A000000}"/>
    <hyperlink ref="G12:H12" location="Urakkatunnit!A1" tooltip=" " display="Urakkatunnit" xr:uid="{00000000-0004-0000-0000-00001B000000}"/>
    <hyperlink ref="G13:H13" location="Välipohjat!A1" tooltip=" " display="Välipohjat" xr:uid="{00000000-0004-0000-0000-00001C000000}"/>
    <hyperlink ref="G14:H14" location="Etumieslisä!A1" tooltip=" " display="Etumieslisä" xr:uid="{00000000-0004-0000-0000-00001D000000}"/>
    <hyperlink ref="G15" location="Jakolista!A1" tooltip=" " display="Jakolisä" xr:uid="{00000000-0004-0000-0000-00001E000000}"/>
    <hyperlink ref="G16:I16" location="'NHK muuttuu kesken urakan'!A1" tooltip=" " display="NHK-muuttuu kesken urakan" xr:uid="{00000000-0004-0000-0000-00001F000000}"/>
    <hyperlink ref="J108" location="Etusivu!A1" tooltip="Tästä pääset etusivulle" display="Etusivu" xr:uid="{00000000-0004-0000-0000-000020000000}"/>
    <hyperlink ref="A11" location="Etusivu!A338" tooltip=" " display="Kiertoilmakojeet, palkit ja paneelit" xr:uid="{EB86D47E-D0FA-481E-8C88-7B082C9E50F1}"/>
    <hyperlink ref="A4:C4" location="Etusivu!A65" display="Urakkapöytäkirja" xr:uid="{00000000-0004-0000-0000-00000D000000}"/>
    <hyperlink ref="A4:E4" location="Etusivu!A65" display="Urakkapöytäkirja" xr:uid="{C8C75764-5E41-456D-A37E-9FAFF811B4FD}"/>
    <hyperlink ref="A5:E5" location="Etusivu!A101" tooltip=" " display="Pyöreät kanavat ja osat" xr:uid="{A987380C-90E0-4999-88FF-AB0785DD87AE}"/>
    <hyperlink ref="A6:E6" location="Etusivu!A137" tooltip=" " display="Tarkastusluukku, ulkosäleiköt" xr:uid="{B75B0B78-9079-44B9-A578-51A7669ECAD0}"/>
    <hyperlink ref="A7:E7" location="Etusivu!A172" tooltip=" " display="Suorakaidekanavat" xr:uid="{607E57F6-A174-40AD-A15D-02D368DFF991}"/>
    <hyperlink ref="A8:E8" location="Etusivu!A254" tooltip=" " display="Venttiilit" xr:uid="{7875FDB5-CBB6-4820-91FB-9F64EDE80DC3}"/>
    <hyperlink ref="A9:E9" location="Etusivu!A297" tooltip="  " display="Ilmanvaihtokoneet, koneosat " xr:uid="{46D7059F-D15F-48C3-BFBD-FCC99A111554}"/>
    <hyperlink ref="A10:E10" location="Etusivu!A338" tooltip=" " display="Pienkojeet" xr:uid="{BF11A265-3BA6-4141-A1F1-6574E2B9392D}"/>
    <hyperlink ref="A11:E11" location="Etusivu!A338" tooltip=" " display="Kiertoilmakojeet, palkit ja paneelit" xr:uid="{7B11EB7A-8317-499D-8F85-7605B68E3EAB}"/>
    <hyperlink ref="A12:E12" location="Etusivu!A379" tooltip=" " display="Aksiaalipuhaltimet" xr:uid="{AC7E765B-69E6-4214-A346-3248C38ACEFF}"/>
    <hyperlink ref="A13:E13" location="Etusivu!A380" tooltip=" " display="Huippuimuri, LV-Piippu" xr:uid="{349CC0ED-C82E-4D78-B26A-292F128475D6}"/>
    <hyperlink ref="A14:E14" location="Etusivu!A412" tooltip=" " display="Vaativuus, olosuhdelisät" xr:uid="{6EE9F3F3-E6D4-46C9-ADA4-FE73ACAC5D54}"/>
    <hyperlink ref="A15:E15" location="Etusivu!A492" tooltip=" " display="Normitunteina sovitut" xr:uid="{EBC2601F-E0B4-44BA-A0E0-E44FC9F3B455}"/>
    <hyperlink ref="A16:E16" location="Etusivu!A536" tooltip=" " display="Osien teko" xr:uid="{22E43387-BF41-4C74-97CF-E3F3715D1D06}"/>
    <hyperlink ref="J461" location="Etusivu!A1" tooltip="Tästä pääset etusivulle" display="Etusivu" xr:uid="{00000000-0004-0000-0000-000008000000}"/>
    <hyperlink ref="J416" location="Etusivu!A1" tooltip="Tästä pääset etusivulle" display="Etusivu" xr:uid="{79D99BDF-EB4B-4B5C-B714-D2D06B0993E3}"/>
  </hyperlinks>
  <pageMargins left="0.35" right="0.23" top="0.38" bottom="0.4" header="0.35" footer="0.36"/>
  <pageSetup paperSize="9" orientation="landscape" horizontalDpi="300" verticalDpi="300" r:id="rId1"/>
  <headerFooter alignWithMargins="0">
    <oddHeader xml:space="preserve">&amp;C
</oddHeader>
  </headerFooter>
  <ignoredErrors>
    <ignoredError sqref="K330 H376:H377 H375 H374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28"/>
  <sheetViews>
    <sheetView workbookViewId="0">
      <selection activeCell="A2" sqref="A2"/>
    </sheetView>
  </sheetViews>
  <sheetFormatPr defaultColWidth="9.140625" defaultRowHeight="12.75" x14ac:dyDescent="0.2"/>
  <cols>
    <col min="1" max="1" width="9.140625" style="148"/>
    <col min="2" max="2" width="7.7109375" style="148" customWidth="1"/>
    <col min="3" max="3" width="9.140625" style="148"/>
    <col min="4" max="4" width="9.140625" style="148" customWidth="1"/>
    <col min="5" max="11" width="9.140625" style="148"/>
    <col min="12" max="12" width="10.5703125" style="148" customWidth="1"/>
    <col min="13" max="16384" width="9.140625" style="148"/>
  </cols>
  <sheetData>
    <row r="1" spans="1:13" x14ac:dyDescent="0.2">
      <c r="A1" s="269"/>
      <c r="B1" s="120"/>
      <c r="C1" s="120"/>
      <c r="D1" s="120"/>
      <c r="E1" s="120"/>
      <c r="F1" s="251"/>
      <c r="G1" s="251"/>
      <c r="H1" s="251"/>
      <c r="I1" s="179"/>
    </row>
    <row r="2" spans="1:13" x14ac:dyDescent="0.2">
      <c r="A2" s="367" t="s">
        <v>234</v>
      </c>
      <c r="B2" s="120"/>
      <c r="C2" s="120"/>
      <c r="D2" s="120"/>
      <c r="E2" s="270"/>
      <c r="F2" s="120"/>
      <c r="G2" s="120"/>
      <c r="H2" s="120"/>
    </row>
    <row r="3" spans="1:13" x14ac:dyDescent="0.2">
      <c r="E3" s="270"/>
    </row>
    <row r="4" spans="1:13" ht="15.75" x14ac:dyDescent="0.25">
      <c r="E4" s="270"/>
      <c r="F4" s="271"/>
      <c r="G4" s="858" t="s">
        <v>334</v>
      </c>
      <c r="H4" s="858"/>
    </row>
    <row r="5" spans="1:13" x14ac:dyDescent="0.2">
      <c r="D5" s="148" t="s">
        <v>335</v>
      </c>
    </row>
    <row r="6" spans="1:13" ht="13.5" thickBot="1" x14ac:dyDescent="0.25">
      <c r="D6" s="281"/>
      <c r="E6" s="282"/>
      <c r="F6" s="283"/>
      <c r="G6" s="283"/>
      <c r="H6" s="283"/>
      <c r="I6" s="283"/>
      <c r="J6" s="283"/>
      <c r="K6" s="283"/>
      <c r="L6" s="283"/>
      <c r="M6" s="271" t="s">
        <v>316</v>
      </c>
    </row>
    <row r="7" spans="1:13" ht="13.5" thickBot="1" x14ac:dyDescent="0.25">
      <c r="A7" s="856">
        <f>Urakkatunnit!A10</f>
        <v>0</v>
      </c>
      <c r="B7" s="857"/>
      <c r="C7" s="857"/>
      <c r="D7" s="284"/>
      <c r="E7" s="284"/>
      <c r="F7" s="284"/>
      <c r="G7" s="284"/>
      <c r="H7" s="284"/>
      <c r="I7" s="284"/>
      <c r="J7" s="284"/>
      <c r="K7" s="284"/>
      <c r="L7" s="284"/>
      <c r="M7" s="272">
        <f>SUM(D7:L7)</f>
        <v>0</v>
      </c>
    </row>
    <row r="8" spans="1:13" ht="13.5" thickBot="1" x14ac:dyDescent="0.25">
      <c r="A8" s="856">
        <f>Urakkatunnit!A11</f>
        <v>0</v>
      </c>
      <c r="B8" s="857"/>
      <c r="C8" s="857"/>
      <c r="D8" s="284"/>
      <c r="E8" s="284"/>
      <c r="F8" s="284"/>
      <c r="G8" s="284"/>
      <c r="H8" s="284"/>
      <c r="I8" s="284"/>
      <c r="J8" s="284"/>
      <c r="K8" s="284"/>
      <c r="L8" s="284"/>
      <c r="M8" s="273">
        <f>SUM(D8:L8)</f>
        <v>0</v>
      </c>
    </row>
    <row r="9" spans="1:13" ht="13.5" thickBot="1" x14ac:dyDescent="0.25">
      <c r="A9" s="856">
        <f>Urakkatunnit!A12</f>
        <v>0</v>
      </c>
      <c r="B9" s="857"/>
      <c r="C9" s="857"/>
      <c r="D9" s="284"/>
      <c r="E9" s="284"/>
      <c r="F9" s="284"/>
      <c r="G9" s="284"/>
      <c r="H9" s="284"/>
      <c r="I9" s="284"/>
      <c r="J9" s="284"/>
      <c r="K9" s="284"/>
      <c r="L9" s="284"/>
      <c r="M9" s="272">
        <f t="shared" ref="M9:M21" si="0">SUM(D9:L9)</f>
        <v>0</v>
      </c>
    </row>
    <row r="10" spans="1:13" ht="13.5" thickBot="1" x14ac:dyDescent="0.25">
      <c r="A10" s="856">
        <f>Urakkatunnit!A13</f>
        <v>0</v>
      </c>
      <c r="B10" s="857"/>
      <c r="C10" s="857"/>
      <c r="D10" s="284"/>
      <c r="E10" s="284"/>
      <c r="F10" s="284"/>
      <c r="G10" s="284"/>
      <c r="H10" s="284"/>
      <c r="I10" s="284"/>
      <c r="J10" s="284"/>
      <c r="K10" s="284"/>
      <c r="L10" s="284"/>
      <c r="M10" s="273">
        <f t="shared" si="0"/>
        <v>0</v>
      </c>
    </row>
    <row r="11" spans="1:13" ht="13.5" thickBot="1" x14ac:dyDescent="0.25">
      <c r="A11" s="856">
        <f>Urakkatunnit!A14</f>
        <v>0</v>
      </c>
      <c r="B11" s="857"/>
      <c r="C11" s="857"/>
      <c r="D11" s="284"/>
      <c r="E11" s="284"/>
      <c r="F11" s="284"/>
      <c r="G11" s="284"/>
      <c r="H11" s="284"/>
      <c r="I11" s="284"/>
      <c r="J11" s="284"/>
      <c r="K11" s="284"/>
      <c r="L11" s="284"/>
      <c r="M11" s="272">
        <f t="shared" si="0"/>
        <v>0</v>
      </c>
    </row>
    <row r="12" spans="1:13" ht="13.5" thickBot="1" x14ac:dyDescent="0.25">
      <c r="A12" s="856">
        <f>Urakkatunnit!A15</f>
        <v>0</v>
      </c>
      <c r="B12" s="857"/>
      <c r="C12" s="857"/>
      <c r="D12" s="284"/>
      <c r="E12" s="284"/>
      <c r="F12" s="284"/>
      <c r="G12" s="284"/>
      <c r="H12" s="284"/>
      <c r="I12" s="284"/>
      <c r="J12" s="284"/>
      <c r="K12" s="284"/>
      <c r="L12" s="284"/>
      <c r="M12" s="273">
        <f t="shared" si="0"/>
        <v>0</v>
      </c>
    </row>
    <row r="13" spans="1:13" ht="13.5" thickBot="1" x14ac:dyDescent="0.25">
      <c r="A13" s="856">
        <f>Urakkatunnit!A16</f>
        <v>0</v>
      </c>
      <c r="B13" s="857"/>
      <c r="C13" s="857"/>
      <c r="D13" s="284"/>
      <c r="E13" s="284"/>
      <c r="F13" s="284"/>
      <c r="G13" s="284"/>
      <c r="H13" s="284"/>
      <c r="I13" s="284"/>
      <c r="J13" s="284"/>
      <c r="K13" s="284"/>
      <c r="L13" s="284"/>
      <c r="M13" s="272">
        <f t="shared" si="0"/>
        <v>0</v>
      </c>
    </row>
    <row r="14" spans="1:13" ht="13.5" thickBot="1" x14ac:dyDescent="0.25">
      <c r="A14" s="856">
        <f>Urakkatunnit!A17</f>
        <v>0</v>
      </c>
      <c r="B14" s="857"/>
      <c r="C14" s="857"/>
      <c r="D14" s="284"/>
      <c r="E14" s="284"/>
      <c r="F14" s="284"/>
      <c r="G14" s="284"/>
      <c r="H14" s="284"/>
      <c r="I14" s="284"/>
      <c r="J14" s="284"/>
      <c r="K14" s="284"/>
      <c r="L14" s="284"/>
      <c r="M14" s="273">
        <f t="shared" si="0"/>
        <v>0</v>
      </c>
    </row>
    <row r="15" spans="1:13" ht="13.5" thickBot="1" x14ac:dyDescent="0.25">
      <c r="A15" s="856">
        <f>Urakkatunnit!A18</f>
        <v>0</v>
      </c>
      <c r="B15" s="857"/>
      <c r="C15" s="857"/>
      <c r="D15" s="284"/>
      <c r="E15" s="284"/>
      <c r="F15" s="284"/>
      <c r="G15" s="284"/>
      <c r="H15" s="284"/>
      <c r="I15" s="284"/>
      <c r="J15" s="284"/>
      <c r="K15" s="284"/>
      <c r="L15" s="284"/>
      <c r="M15" s="272">
        <f t="shared" si="0"/>
        <v>0</v>
      </c>
    </row>
    <row r="16" spans="1:13" ht="13.5" thickBot="1" x14ac:dyDescent="0.25">
      <c r="A16" s="856">
        <f>Urakkatunnit!A19</f>
        <v>0</v>
      </c>
      <c r="B16" s="857"/>
      <c r="C16" s="857"/>
      <c r="D16" s="284"/>
      <c r="E16" s="284"/>
      <c r="F16" s="284"/>
      <c r="G16" s="284"/>
      <c r="H16" s="284"/>
      <c r="I16" s="284"/>
      <c r="J16" s="284"/>
      <c r="K16" s="284"/>
      <c r="L16" s="284"/>
      <c r="M16" s="273">
        <f t="shared" si="0"/>
        <v>0</v>
      </c>
    </row>
    <row r="17" spans="1:14" ht="13.5" thickBot="1" x14ac:dyDescent="0.25">
      <c r="A17" s="856">
        <f>Urakkatunnit!A20</f>
        <v>0</v>
      </c>
      <c r="B17" s="857"/>
      <c r="C17" s="857"/>
      <c r="D17" s="284"/>
      <c r="E17" s="284"/>
      <c r="F17" s="284"/>
      <c r="G17" s="284"/>
      <c r="H17" s="284"/>
      <c r="I17" s="284"/>
      <c r="J17" s="284"/>
      <c r="K17" s="284"/>
      <c r="L17" s="284"/>
      <c r="M17" s="272">
        <f t="shared" si="0"/>
        <v>0</v>
      </c>
    </row>
    <row r="18" spans="1:14" ht="13.5" thickBot="1" x14ac:dyDescent="0.25">
      <c r="A18" s="856">
        <f>Urakkatunnit!A21</f>
        <v>0</v>
      </c>
      <c r="B18" s="857"/>
      <c r="C18" s="857"/>
      <c r="D18" s="284"/>
      <c r="E18" s="284"/>
      <c r="F18" s="284"/>
      <c r="G18" s="284"/>
      <c r="H18" s="284"/>
      <c r="I18" s="284"/>
      <c r="J18" s="284"/>
      <c r="K18" s="284"/>
      <c r="L18" s="284"/>
      <c r="M18" s="273">
        <f t="shared" si="0"/>
        <v>0</v>
      </c>
    </row>
    <row r="19" spans="1:14" ht="13.5" thickBot="1" x14ac:dyDescent="0.25">
      <c r="A19" s="856">
        <f>Urakkatunnit!A22</f>
        <v>0</v>
      </c>
      <c r="B19" s="857"/>
      <c r="C19" s="857"/>
      <c r="D19" s="284"/>
      <c r="E19" s="284"/>
      <c r="F19" s="284"/>
      <c r="G19" s="284"/>
      <c r="H19" s="284"/>
      <c r="I19" s="284"/>
      <c r="J19" s="284"/>
      <c r="K19" s="284"/>
      <c r="L19" s="284"/>
      <c r="M19" s="272">
        <f t="shared" si="0"/>
        <v>0</v>
      </c>
    </row>
    <row r="20" spans="1:14" ht="13.5" thickBot="1" x14ac:dyDescent="0.25">
      <c r="A20" s="856">
        <f>Urakkatunnit!A23</f>
        <v>0</v>
      </c>
      <c r="B20" s="857"/>
      <c r="C20" s="857"/>
      <c r="D20" s="284"/>
      <c r="E20" s="284"/>
      <c r="F20" s="284"/>
      <c r="G20" s="284"/>
      <c r="H20" s="284"/>
      <c r="I20" s="284"/>
      <c r="J20" s="284"/>
      <c r="K20" s="284"/>
      <c r="L20" s="284"/>
      <c r="M20" s="273">
        <f t="shared" si="0"/>
        <v>0</v>
      </c>
    </row>
    <row r="21" spans="1:14" ht="13.5" thickBot="1" x14ac:dyDescent="0.25">
      <c r="A21" s="856">
        <f>Urakkatunnit!A24</f>
        <v>0</v>
      </c>
      <c r="B21" s="857"/>
      <c r="C21" s="857"/>
      <c r="D21" s="284"/>
      <c r="E21" s="284"/>
      <c r="F21" s="284"/>
      <c r="G21" s="284"/>
      <c r="H21" s="284"/>
      <c r="I21" s="284"/>
      <c r="J21" s="284"/>
      <c r="K21" s="284"/>
      <c r="L21" s="284"/>
      <c r="M21" s="272">
        <f t="shared" si="0"/>
        <v>0</v>
      </c>
    </row>
    <row r="22" spans="1:14" ht="13.5" thickBot="1" x14ac:dyDescent="0.25">
      <c r="A22" s="859">
        <f>Urakkatunnit!A26</f>
        <v>0</v>
      </c>
      <c r="B22" s="860"/>
      <c r="C22" s="861"/>
      <c r="D22" s="284"/>
      <c r="E22" s="284"/>
      <c r="F22" s="284"/>
      <c r="G22" s="284"/>
      <c r="H22" s="284"/>
      <c r="I22" s="284"/>
      <c r="J22" s="284"/>
      <c r="K22" s="284"/>
      <c r="L22" s="284"/>
      <c r="M22" s="535">
        <f>SUM(D22:L22)</f>
        <v>0</v>
      </c>
    </row>
    <row r="23" spans="1:14" ht="13.5" thickBot="1" x14ac:dyDescent="0.25">
      <c r="A23" s="859">
        <f>Urakkatunnit!A27</f>
        <v>0</v>
      </c>
      <c r="B23" s="860"/>
      <c r="C23" s="861"/>
      <c r="D23" s="284"/>
      <c r="E23" s="284"/>
      <c r="F23" s="284"/>
      <c r="G23" s="284"/>
      <c r="H23" s="284"/>
      <c r="I23" s="284"/>
      <c r="J23" s="284"/>
      <c r="K23" s="284"/>
      <c r="L23" s="284"/>
      <c r="M23" s="535">
        <f>SUM(D23:L23)</f>
        <v>0</v>
      </c>
    </row>
    <row r="24" spans="1:14" ht="13.5" thickBot="1" x14ac:dyDescent="0.25">
      <c r="A24" s="859">
        <f>Urakkatunnit!A28</f>
        <v>0</v>
      </c>
      <c r="B24" s="860"/>
      <c r="C24" s="861"/>
      <c r="D24" s="284"/>
      <c r="E24" s="284"/>
      <c r="F24" s="284"/>
      <c r="G24" s="284"/>
      <c r="H24" s="284"/>
      <c r="I24" s="284"/>
      <c r="J24" s="284"/>
      <c r="K24" s="284"/>
      <c r="L24" s="284"/>
      <c r="M24" s="535">
        <f>SUM(D24:L24)</f>
        <v>0</v>
      </c>
    </row>
    <row r="25" spans="1:14" ht="13.5" thickBot="1" x14ac:dyDescent="0.25">
      <c r="A25" s="859">
        <f>Urakkatunnit!A29</f>
        <v>0</v>
      </c>
      <c r="B25" s="860"/>
      <c r="C25" s="861"/>
      <c r="D25" s="284"/>
      <c r="E25" s="284"/>
      <c r="F25" s="284"/>
      <c r="G25" s="284"/>
      <c r="H25" s="284"/>
      <c r="I25" s="284"/>
      <c r="J25" s="284"/>
      <c r="K25" s="284"/>
      <c r="L25" s="284"/>
      <c r="M25" s="535">
        <f>SUM(D25:L25)</f>
        <v>0</v>
      </c>
    </row>
    <row r="26" spans="1:14" ht="13.5" thickBot="1" x14ac:dyDescent="0.25">
      <c r="C26" s="274" t="s">
        <v>336</v>
      </c>
      <c r="D26" s="275">
        <f t="shared" ref="D26:L26" si="1">SUM(D7:D25)</f>
        <v>0</v>
      </c>
      <c r="E26" s="276">
        <f t="shared" si="1"/>
        <v>0</v>
      </c>
      <c r="F26" s="277">
        <f t="shared" si="1"/>
        <v>0</v>
      </c>
      <c r="G26" s="277">
        <f t="shared" si="1"/>
        <v>0</v>
      </c>
      <c r="H26" s="277">
        <f t="shared" si="1"/>
        <v>0</v>
      </c>
      <c r="I26" s="277">
        <f t="shared" si="1"/>
        <v>0</v>
      </c>
      <c r="J26" s="277">
        <f t="shared" si="1"/>
        <v>0</v>
      </c>
      <c r="K26" s="277">
        <f t="shared" si="1"/>
        <v>0</v>
      </c>
      <c r="L26" s="278">
        <f t="shared" si="1"/>
        <v>0</v>
      </c>
      <c r="M26" s="534"/>
    </row>
    <row r="27" spans="1:14" ht="13.5" thickBot="1" x14ac:dyDescent="0.25">
      <c r="D27" s="120"/>
      <c r="E27" s="120"/>
      <c r="F27" s="120"/>
      <c r="L27" s="279" t="s">
        <v>337</v>
      </c>
      <c r="M27" s="280">
        <f>SUM(D26:L26)</f>
        <v>0</v>
      </c>
      <c r="N27" s="148" t="s">
        <v>318</v>
      </c>
    </row>
    <row r="28" spans="1:14" x14ac:dyDescent="0.2">
      <c r="E28" s="120"/>
      <c r="F28" s="120"/>
      <c r="G28" s="120"/>
      <c r="H28" s="120"/>
    </row>
  </sheetData>
  <sheetProtection password="C75E" sheet="1"/>
  <mergeCells count="20">
    <mergeCell ref="A22:C22"/>
    <mergeCell ref="A20:C20"/>
    <mergeCell ref="A23:C23"/>
    <mergeCell ref="A24:C24"/>
    <mergeCell ref="A25:C25"/>
    <mergeCell ref="A21:C21"/>
    <mergeCell ref="A17:C17"/>
    <mergeCell ref="A18:C18"/>
    <mergeCell ref="A19:C19"/>
    <mergeCell ref="G4:H4"/>
    <mergeCell ref="A7:C7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</mergeCells>
  <hyperlinks>
    <hyperlink ref="A2" location="Etusivu!A1" tooltip="Tästä pääset etusivulle" display="Etusivu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34"/>
  <sheetViews>
    <sheetView workbookViewId="0"/>
  </sheetViews>
  <sheetFormatPr defaultColWidth="9.140625" defaultRowHeight="12.75" x14ac:dyDescent="0.2"/>
  <cols>
    <col min="1" max="6" width="9.140625" style="148"/>
    <col min="7" max="7" width="11.140625" style="148" bestFit="1" customWidth="1"/>
    <col min="8" max="9" width="9.140625" style="148"/>
    <col min="10" max="10" width="10.85546875" style="148" bestFit="1" customWidth="1"/>
    <col min="11" max="16384" width="9.140625" style="148"/>
  </cols>
  <sheetData>
    <row r="1" spans="1:11" ht="15.75" x14ac:dyDescent="0.25">
      <c r="A1" s="367" t="s">
        <v>234</v>
      </c>
      <c r="D1" s="153" t="s">
        <v>321</v>
      </c>
      <c r="E1" s="285"/>
      <c r="F1" s="285"/>
      <c r="H1" s="285"/>
      <c r="I1" s="285"/>
      <c r="J1" s="285"/>
      <c r="K1" s="285"/>
    </row>
    <row r="2" spans="1:11" ht="15.75" thickBot="1" x14ac:dyDescent="0.25">
      <c r="A2" s="285"/>
      <c r="B2" s="285"/>
      <c r="C2" s="285"/>
      <c r="D2" s="285"/>
      <c r="E2" s="285"/>
      <c r="F2" s="285"/>
      <c r="G2" s="285"/>
      <c r="H2" s="285"/>
      <c r="I2" s="285"/>
      <c r="J2" s="285"/>
      <c r="K2" s="285"/>
    </row>
    <row r="3" spans="1:11" ht="15.75" thickBot="1" x14ac:dyDescent="0.25">
      <c r="A3" s="423">
        <f>SUM(Etusivu!Q63)</f>
        <v>0</v>
      </c>
      <c r="B3" s="285" t="s">
        <v>0</v>
      </c>
      <c r="C3" s="285"/>
      <c r="D3" s="285"/>
      <c r="E3" s="285"/>
      <c r="F3" s="285"/>
      <c r="G3" s="285"/>
      <c r="H3" s="285"/>
      <c r="I3" s="285"/>
      <c r="J3" s="285"/>
      <c r="K3" s="285"/>
    </row>
    <row r="4" spans="1:11" ht="15.75" x14ac:dyDescent="0.25">
      <c r="A4" s="286"/>
      <c r="B4" s="285"/>
      <c r="C4" s="285"/>
      <c r="D4" s="285"/>
      <c r="E4" s="285"/>
      <c r="F4" s="285"/>
      <c r="G4" s="285"/>
      <c r="I4" s="153"/>
      <c r="J4" s="153"/>
      <c r="K4" s="153"/>
    </row>
    <row r="5" spans="1:11" ht="15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</row>
    <row r="6" spans="1:11" ht="15" x14ac:dyDescent="0.2">
      <c r="A6" s="285"/>
      <c r="B6" s="285" t="s">
        <v>309</v>
      </c>
      <c r="C6" s="424">
        <f>SUM(Urakkatunnit!D4)</f>
        <v>0</v>
      </c>
      <c r="D6" s="285" t="s">
        <v>318</v>
      </c>
      <c r="E6" s="287">
        <f>SUM(Urakkatunnit!B35)</f>
        <v>0</v>
      </c>
      <c r="F6" s="285" t="s">
        <v>322</v>
      </c>
      <c r="G6" s="285"/>
      <c r="H6" s="285"/>
      <c r="I6" s="285"/>
      <c r="J6" s="285"/>
      <c r="K6" s="285"/>
    </row>
    <row r="7" spans="1:11" ht="15" x14ac:dyDescent="0.2">
      <c r="A7" s="285"/>
      <c r="B7" s="285" t="s">
        <v>310</v>
      </c>
      <c r="C7" s="424">
        <f>SUM(Urakkatunnit!D5)</f>
        <v>0</v>
      </c>
      <c r="D7" s="285" t="s">
        <v>318</v>
      </c>
      <c r="E7" s="287">
        <f>SUM(Urakkatunnit!D35)</f>
        <v>0</v>
      </c>
      <c r="F7" s="285" t="s">
        <v>322</v>
      </c>
      <c r="G7" s="285"/>
      <c r="H7" s="285"/>
      <c r="I7" s="285"/>
      <c r="J7" s="285"/>
      <c r="K7" s="285"/>
    </row>
    <row r="8" spans="1:11" ht="15" x14ac:dyDescent="0.2">
      <c r="A8" s="285"/>
      <c r="B8" s="285" t="s">
        <v>311</v>
      </c>
      <c r="C8" s="425">
        <f>SUM(Urakkatunnit!D6)</f>
        <v>0</v>
      </c>
      <c r="D8" s="285" t="s">
        <v>318</v>
      </c>
      <c r="E8" s="287">
        <f>SUM(Urakkatunnit!F35)</f>
        <v>0</v>
      </c>
      <c r="F8" s="285" t="s">
        <v>322</v>
      </c>
      <c r="G8" s="285"/>
      <c r="H8" s="285"/>
      <c r="I8" s="285"/>
      <c r="J8" s="285"/>
      <c r="K8" s="285"/>
    </row>
    <row r="9" spans="1:11" ht="15" x14ac:dyDescent="0.2">
      <c r="A9" s="285"/>
      <c r="B9" s="285"/>
      <c r="C9" s="285"/>
      <c r="D9" s="285"/>
      <c r="E9" s="285">
        <f>SUM(E6:E8)</f>
        <v>0</v>
      </c>
      <c r="F9" s="285" t="s">
        <v>322</v>
      </c>
      <c r="G9" s="285"/>
      <c r="H9" s="285"/>
      <c r="I9" s="285"/>
      <c r="J9" s="285"/>
      <c r="K9" s="285"/>
    </row>
    <row r="10" spans="1:11" ht="15" x14ac:dyDescent="0.2">
      <c r="A10" s="285"/>
      <c r="B10" s="285"/>
      <c r="C10" s="285"/>
      <c r="D10" s="285"/>
      <c r="F10" s="285"/>
      <c r="G10" s="285"/>
      <c r="H10" s="285"/>
      <c r="I10" s="285"/>
      <c r="J10" s="285"/>
      <c r="K10" s="285"/>
    </row>
    <row r="11" spans="1:11" ht="15.75" thickBot="1" x14ac:dyDescent="0.25">
      <c r="A11" s="285"/>
      <c r="B11" s="288">
        <f>E6</f>
        <v>0</v>
      </c>
      <c r="C11" s="289" t="s">
        <v>323</v>
      </c>
      <c r="D11" s="288">
        <v>100</v>
      </c>
      <c r="E11" s="290" t="s">
        <v>324</v>
      </c>
      <c r="F11" s="291" t="e">
        <f>B11*D11/C12</f>
        <v>#DIV/0!</v>
      </c>
      <c r="G11" s="292" t="s">
        <v>325</v>
      </c>
      <c r="H11" s="285"/>
      <c r="I11" s="285"/>
      <c r="J11" s="285"/>
      <c r="K11" s="285"/>
    </row>
    <row r="12" spans="1:11" ht="15" x14ac:dyDescent="0.2">
      <c r="A12" s="285"/>
      <c r="B12" s="285"/>
      <c r="C12" s="285">
        <f>E9</f>
        <v>0</v>
      </c>
      <c r="D12" s="285"/>
      <c r="E12" s="285"/>
      <c r="F12" s="285"/>
      <c r="G12" s="285"/>
      <c r="H12" s="285"/>
      <c r="I12" s="285"/>
      <c r="J12" s="285"/>
      <c r="K12" s="285"/>
    </row>
    <row r="13" spans="1:11" ht="15" x14ac:dyDescent="0.2">
      <c r="A13" s="285"/>
      <c r="B13" s="285"/>
      <c r="C13" s="285"/>
      <c r="D13" s="285"/>
      <c r="E13" s="285"/>
      <c r="F13" s="285"/>
      <c r="G13" s="285"/>
      <c r="H13" s="285"/>
      <c r="I13" s="285"/>
      <c r="J13" s="285"/>
      <c r="K13" s="285"/>
    </row>
    <row r="14" spans="1:11" ht="15.75" thickBot="1" x14ac:dyDescent="0.25">
      <c r="A14" s="285"/>
      <c r="B14" s="288">
        <f>E7</f>
        <v>0</v>
      </c>
      <c r="C14" s="289" t="s">
        <v>323</v>
      </c>
      <c r="D14" s="288">
        <v>100</v>
      </c>
      <c r="E14" s="290" t="s">
        <v>324</v>
      </c>
      <c r="F14" s="293" t="e">
        <f>B14*D14/C15</f>
        <v>#DIV/0!</v>
      </c>
      <c r="G14" s="285" t="s">
        <v>325</v>
      </c>
      <c r="H14" s="285"/>
      <c r="I14" s="285"/>
      <c r="J14" s="285"/>
      <c r="K14" s="285"/>
    </row>
    <row r="15" spans="1:11" ht="15" x14ac:dyDescent="0.2">
      <c r="A15" s="285"/>
      <c r="B15" s="285"/>
      <c r="C15" s="285">
        <f>E9</f>
        <v>0</v>
      </c>
      <c r="D15" s="285"/>
      <c r="E15" s="285"/>
      <c r="F15" s="285"/>
      <c r="G15" s="285"/>
      <c r="H15" s="285"/>
      <c r="I15" s="285"/>
      <c r="J15" s="285"/>
      <c r="K15" s="285"/>
    </row>
    <row r="16" spans="1:11" ht="15" x14ac:dyDescent="0.2">
      <c r="A16" s="285"/>
      <c r="B16" s="285"/>
      <c r="C16" s="285"/>
      <c r="D16" s="285"/>
      <c r="E16" s="285"/>
      <c r="F16" s="285"/>
      <c r="G16" s="285"/>
      <c r="H16" s="285"/>
      <c r="I16" s="285"/>
      <c r="J16" s="285"/>
      <c r="K16" s="285"/>
    </row>
    <row r="17" spans="1:11" ht="15.75" thickBot="1" x14ac:dyDescent="0.25">
      <c r="B17" s="288">
        <f>E8</f>
        <v>0</v>
      </c>
      <c r="C17" s="289" t="s">
        <v>323</v>
      </c>
      <c r="D17" s="288">
        <v>100</v>
      </c>
      <c r="E17" s="290" t="s">
        <v>324</v>
      </c>
      <c r="F17" s="293" t="e">
        <f>B17*D17/C18</f>
        <v>#DIV/0!</v>
      </c>
      <c r="G17" s="285" t="s">
        <v>325</v>
      </c>
    </row>
    <row r="18" spans="1:11" ht="15" x14ac:dyDescent="0.2">
      <c r="B18" s="285"/>
      <c r="C18" s="285">
        <f>E9</f>
        <v>0</v>
      </c>
      <c r="D18" s="285"/>
      <c r="E18" s="285"/>
      <c r="F18" s="285"/>
      <c r="G18" s="285"/>
    </row>
    <row r="21" spans="1:11" x14ac:dyDescent="0.2">
      <c r="A21" s="163">
        <f>A3</f>
        <v>0</v>
      </c>
      <c r="B21" s="163" t="s">
        <v>326</v>
      </c>
      <c r="C21" s="294" t="e">
        <f>F11</f>
        <v>#DIV/0!</v>
      </c>
      <c r="D21" s="163" t="s">
        <v>325</v>
      </c>
      <c r="E21" s="295" t="s">
        <v>324</v>
      </c>
      <c r="F21" s="163" t="e">
        <f>A21*C21/100</f>
        <v>#DIV/0!</v>
      </c>
      <c r="G21" s="163" t="s">
        <v>326</v>
      </c>
      <c r="H21" s="294">
        <f>$C$6</f>
        <v>0</v>
      </c>
      <c r="I21" s="163" t="s">
        <v>327</v>
      </c>
      <c r="J21" s="294" t="e">
        <f>F21*H21</f>
        <v>#DIV/0!</v>
      </c>
      <c r="K21" s="163" t="s">
        <v>318</v>
      </c>
    </row>
    <row r="22" spans="1:11" x14ac:dyDescent="0.2">
      <c r="A22" s="163"/>
      <c r="B22" s="163"/>
      <c r="C22" s="163"/>
      <c r="D22" s="163"/>
      <c r="E22" s="163"/>
      <c r="F22" s="163"/>
      <c r="G22" s="163"/>
      <c r="H22" s="163"/>
      <c r="I22" s="163"/>
      <c r="J22" s="294"/>
      <c r="K22" s="163"/>
    </row>
    <row r="23" spans="1:11" x14ac:dyDescent="0.2">
      <c r="A23" s="163">
        <f>A3</f>
        <v>0</v>
      </c>
      <c r="B23" s="163" t="s">
        <v>326</v>
      </c>
      <c r="C23" s="294" t="e">
        <f>F14</f>
        <v>#DIV/0!</v>
      </c>
      <c r="D23" s="163" t="s">
        <v>325</v>
      </c>
      <c r="E23" s="295" t="s">
        <v>324</v>
      </c>
      <c r="F23" s="163" t="e">
        <f>A23*C23/100</f>
        <v>#DIV/0!</v>
      </c>
      <c r="G23" s="163" t="s">
        <v>326</v>
      </c>
      <c r="H23" s="294">
        <f>$C$7</f>
        <v>0</v>
      </c>
      <c r="I23" s="163" t="s">
        <v>327</v>
      </c>
      <c r="J23" s="294" t="e">
        <f>F23*H23</f>
        <v>#DIV/0!</v>
      </c>
      <c r="K23" s="163" t="s">
        <v>318</v>
      </c>
    </row>
    <row r="24" spans="1:11" x14ac:dyDescent="0.2">
      <c r="A24" s="163"/>
      <c r="B24" s="163"/>
      <c r="C24" s="163"/>
      <c r="D24" s="163"/>
      <c r="E24" s="163"/>
      <c r="F24" s="163"/>
      <c r="G24" s="163"/>
      <c r="H24" s="163"/>
      <c r="I24" s="163"/>
      <c r="J24" s="294"/>
      <c r="K24" s="163"/>
    </row>
    <row r="25" spans="1:11" x14ac:dyDescent="0.2">
      <c r="A25" s="296">
        <f>A3</f>
        <v>0</v>
      </c>
      <c r="B25" s="163" t="s">
        <v>326</v>
      </c>
      <c r="C25" s="294" t="e">
        <f>F17</f>
        <v>#DIV/0!</v>
      </c>
      <c r="D25" s="163" t="s">
        <v>325</v>
      </c>
      <c r="E25" s="295" t="s">
        <v>324</v>
      </c>
      <c r="F25" s="163" t="e">
        <f>A25*C25/100</f>
        <v>#DIV/0!</v>
      </c>
      <c r="G25" s="163" t="s">
        <v>326</v>
      </c>
      <c r="H25" s="294">
        <f>C8</f>
        <v>0</v>
      </c>
      <c r="I25" s="163" t="s">
        <v>327</v>
      </c>
      <c r="J25" s="294" t="e">
        <f>F25*H25</f>
        <v>#DIV/0!</v>
      </c>
      <c r="K25" s="163" t="s">
        <v>318</v>
      </c>
    </row>
    <row r="28" spans="1:11" ht="13.5" thickBot="1" x14ac:dyDescent="0.25"/>
    <row r="29" spans="1:11" ht="15.75" thickBot="1" x14ac:dyDescent="0.25">
      <c r="F29" s="285"/>
      <c r="G29" s="288" t="s">
        <v>328</v>
      </c>
      <c r="H29" s="288"/>
      <c r="I29" s="288"/>
      <c r="J29" s="297" t="e">
        <f>SUM(J21:J25)</f>
        <v>#DIV/0!</v>
      </c>
      <c r="K29" s="288" t="s">
        <v>318</v>
      </c>
    </row>
    <row r="31" spans="1:11" ht="15.75" thickBot="1" x14ac:dyDescent="0.25">
      <c r="A31" s="285"/>
      <c r="B31" s="285"/>
      <c r="C31" s="288" t="s">
        <v>329</v>
      </c>
      <c r="D31" s="288"/>
      <c r="E31" s="288"/>
      <c r="F31" s="285"/>
      <c r="G31" s="285"/>
      <c r="H31" s="285"/>
      <c r="I31" s="285"/>
      <c r="J31" s="285"/>
      <c r="K31" s="285"/>
    </row>
    <row r="32" spans="1:11" ht="15.75" thickBot="1" x14ac:dyDescent="0.25">
      <c r="A32" s="285"/>
      <c r="B32" s="285"/>
      <c r="C32" s="285"/>
      <c r="D32" s="285"/>
      <c r="E32" s="285"/>
      <c r="F32" s="285"/>
      <c r="G32" s="285"/>
      <c r="H32" s="285"/>
      <c r="I32" s="285"/>
      <c r="J32" s="285"/>
      <c r="K32" s="285"/>
    </row>
    <row r="33" spans="1:11" ht="15.75" thickBot="1" x14ac:dyDescent="0.25">
      <c r="A33" s="285"/>
      <c r="B33" s="285"/>
      <c r="C33" s="285"/>
      <c r="D33" s="862" t="e">
        <f>J29</f>
        <v>#DIV/0!</v>
      </c>
      <c r="E33" s="862"/>
      <c r="F33" s="288" t="s">
        <v>327</v>
      </c>
      <c r="G33" s="298" t="e">
        <f>D33/E34</f>
        <v>#DIV/0!</v>
      </c>
      <c r="H33" s="299" t="s">
        <v>330</v>
      </c>
      <c r="I33" s="285"/>
      <c r="J33" s="285"/>
      <c r="K33" s="285"/>
    </row>
    <row r="34" spans="1:11" ht="15" x14ac:dyDescent="0.2">
      <c r="A34" s="285"/>
      <c r="B34" s="285"/>
      <c r="C34" s="285"/>
      <c r="D34" s="285"/>
      <c r="E34" s="285">
        <f>E9</f>
        <v>0</v>
      </c>
      <c r="F34" s="285" t="s">
        <v>319</v>
      </c>
      <c r="G34" s="285"/>
      <c r="H34" s="285"/>
      <c r="I34" s="285"/>
      <c r="J34" s="285"/>
      <c r="K34" s="285"/>
    </row>
  </sheetData>
  <sheetProtection password="C75E" sheet="1"/>
  <mergeCells count="1">
    <mergeCell ref="D33:E33"/>
  </mergeCells>
  <hyperlinks>
    <hyperlink ref="A1" location="Etusivu!A1" tooltip="Tästä pääset etusivulle" display="Etusivu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29"/>
  <sheetViews>
    <sheetView zoomScale="90" zoomScaleNormal="90" workbookViewId="0">
      <selection activeCell="A2" sqref="A2"/>
    </sheetView>
  </sheetViews>
  <sheetFormatPr defaultColWidth="9.140625" defaultRowHeight="12.75" x14ac:dyDescent="0.2"/>
  <cols>
    <col min="1" max="1" width="21" style="148" customWidth="1"/>
    <col min="2" max="8" width="9.140625" style="148"/>
    <col min="9" max="9" width="12" style="148" customWidth="1"/>
    <col min="10" max="16384" width="9.140625" style="148"/>
  </cols>
  <sheetData>
    <row r="1" spans="1:12" ht="14.25" x14ac:dyDescent="0.2">
      <c r="A1" s="269"/>
      <c r="B1" s="267"/>
      <c r="C1" s="267"/>
      <c r="D1" s="267"/>
      <c r="E1" s="267"/>
      <c r="F1" s="267"/>
      <c r="G1" s="301"/>
      <c r="H1" s="267"/>
      <c r="I1" s="267"/>
      <c r="J1" s="301"/>
      <c r="K1" s="301"/>
      <c r="L1" s="301"/>
    </row>
    <row r="2" spans="1:12" ht="14.25" x14ac:dyDescent="0.2">
      <c r="A2" s="367" t="s">
        <v>234</v>
      </c>
      <c r="B2" s="267"/>
      <c r="C2" s="267"/>
      <c r="D2" s="267"/>
      <c r="E2" s="267"/>
      <c r="F2" s="267"/>
      <c r="G2" s="267"/>
      <c r="H2" s="267"/>
      <c r="I2" s="267"/>
      <c r="J2" s="301"/>
      <c r="K2" s="301"/>
      <c r="L2" s="301"/>
    </row>
    <row r="3" spans="1:12" ht="14.25" x14ac:dyDescent="0.2">
      <c r="A3" s="300"/>
      <c r="B3" s="300"/>
      <c r="C3" s="300"/>
      <c r="D3" s="300"/>
      <c r="E3" s="300"/>
      <c r="F3" s="300"/>
      <c r="G3" s="300"/>
      <c r="H3" s="267"/>
      <c r="I3" s="267"/>
      <c r="J3" s="301"/>
      <c r="K3" s="301"/>
      <c r="L3" s="301"/>
    </row>
    <row r="4" spans="1:12" ht="20.25" x14ac:dyDescent="0.3">
      <c r="A4" s="863" t="s">
        <v>355</v>
      </c>
      <c r="B4" s="863"/>
      <c r="C4" s="863"/>
      <c r="D4" s="863"/>
      <c r="E4" s="300"/>
      <c r="F4" s="300"/>
      <c r="G4" s="300"/>
      <c r="H4" s="267"/>
      <c r="I4" s="267"/>
      <c r="J4" s="301"/>
      <c r="K4" s="301"/>
      <c r="L4" s="301"/>
    </row>
    <row r="5" spans="1:12" ht="15" x14ac:dyDescent="0.25">
      <c r="A5" s="300"/>
      <c r="B5" s="300"/>
      <c r="C5" s="300"/>
      <c r="D5" s="300"/>
      <c r="E5" s="300"/>
      <c r="F5" s="300"/>
      <c r="G5" s="302"/>
      <c r="H5" s="303"/>
      <c r="I5" s="267"/>
      <c r="J5" s="301"/>
      <c r="K5" s="301"/>
      <c r="L5" s="301"/>
    </row>
    <row r="6" spans="1:12" ht="14.25" x14ac:dyDescent="0.2">
      <c r="A6" s="300"/>
      <c r="B6" s="300"/>
      <c r="C6" s="300"/>
      <c r="D6" s="300"/>
      <c r="E6" s="300"/>
      <c r="F6" s="300"/>
      <c r="G6" s="300"/>
      <c r="H6" s="267"/>
      <c r="I6" s="267"/>
      <c r="J6" s="301"/>
      <c r="K6" s="301"/>
      <c r="L6" s="301"/>
    </row>
    <row r="7" spans="1:12" ht="14.25" x14ac:dyDescent="0.2">
      <c r="A7" s="300" t="s">
        <v>338</v>
      </c>
      <c r="B7" s="300"/>
      <c r="C7" s="300"/>
      <c r="D7" s="300"/>
      <c r="E7" s="864" t="s">
        <v>339</v>
      </c>
      <c r="F7" s="864"/>
      <c r="G7" s="300"/>
      <c r="H7" s="267"/>
      <c r="I7" s="304" t="e">
        <f>SUM('NHK muuttuu kesken urakan'!J29)</f>
        <v>#DIV/0!</v>
      </c>
      <c r="J7" s="305" t="s">
        <v>318</v>
      </c>
      <c r="K7" s="301"/>
      <c r="L7" s="301"/>
    </row>
    <row r="8" spans="1:12" ht="14.25" x14ac:dyDescent="0.2">
      <c r="A8" s="306" t="s">
        <v>461</v>
      </c>
      <c r="B8" s="306"/>
      <c r="C8" s="306"/>
      <c r="D8" s="307" t="s">
        <v>5</v>
      </c>
      <c r="E8" s="327"/>
      <c r="F8" s="308" t="s">
        <v>340</v>
      </c>
      <c r="G8" s="523">
        <f>SUM(Urakkatunnit!B10:B24)</f>
        <v>0</v>
      </c>
      <c r="H8" s="309" t="s">
        <v>341</v>
      </c>
      <c r="I8" s="310">
        <f t="shared" ref="I8:I13" si="0">E8*G8</f>
        <v>0</v>
      </c>
      <c r="J8" s="305" t="s">
        <v>318</v>
      </c>
      <c r="K8" s="301"/>
      <c r="L8" s="301"/>
    </row>
    <row r="9" spans="1:12" ht="14.25" x14ac:dyDescent="0.2">
      <c r="A9" s="516" t="s">
        <v>463</v>
      </c>
      <c r="B9" s="516"/>
      <c r="C9" s="516"/>
      <c r="D9" s="517"/>
      <c r="E9" s="327"/>
      <c r="F9" s="308" t="s">
        <v>340</v>
      </c>
      <c r="G9" s="523">
        <f>SUM(Urakkatunnit!B26:B29)</f>
        <v>0</v>
      </c>
      <c r="H9" s="309" t="s">
        <v>341</v>
      </c>
      <c r="I9" s="310">
        <f t="shared" si="0"/>
        <v>0</v>
      </c>
      <c r="J9" s="305"/>
      <c r="K9" s="301"/>
      <c r="L9" s="301"/>
    </row>
    <row r="10" spans="1:12" ht="14.25" x14ac:dyDescent="0.2">
      <c r="A10" s="306" t="s">
        <v>461</v>
      </c>
      <c r="B10" s="300"/>
      <c r="C10" s="300"/>
      <c r="D10" s="307" t="s">
        <v>6</v>
      </c>
      <c r="E10" s="327"/>
      <c r="F10" s="308" t="s">
        <v>340</v>
      </c>
      <c r="G10" s="523">
        <f>SUM(Urakkatunnit!D10:D24)</f>
        <v>0</v>
      </c>
      <c r="H10" s="309" t="s">
        <v>341</v>
      </c>
      <c r="I10" s="310">
        <f t="shared" si="0"/>
        <v>0</v>
      </c>
      <c r="J10" s="305" t="s">
        <v>318</v>
      </c>
      <c r="K10" s="301"/>
      <c r="L10" s="301"/>
    </row>
    <row r="11" spans="1:12" ht="14.25" x14ac:dyDescent="0.2">
      <c r="A11" s="516" t="s">
        <v>463</v>
      </c>
      <c r="B11" s="519"/>
      <c r="C11" s="519"/>
      <c r="D11" s="520"/>
      <c r="E11" s="327"/>
      <c r="F11" s="308" t="s">
        <v>340</v>
      </c>
      <c r="G11" s="523">
        <f>SUM(Urakkatunnit!D26:D29)</f>
        <v>0</v>
      </c>
      <c r="H11" s="309" t="s">
        <v>341</v>
      </c>
      <c r="I11" s="310">
        <f t="shared" si="0"/>
        <v>0</v>
      </c>
      <c r="J11" s="305"/>
      <c r="K11" s="301"/>
      <c r="L11" s="301"/>
    </row>
    <row r="12" spans="1:12" ht="14.25" x14ac:dyDescent="0.2">
      <c r="A12" s="306" t="s">
        <v>461</v>
      </c>
      <c r="B12" s="301"/>
      <c r="C12" s="301"/>
      <c r="D12" s="311" t="s">
        <v>7</v>
      </c>
      <c r="E12" s="518"/>
      <c r="F12" s="308" t="s">
        <v>340</v>
      </c>
      <c r="G12" s="523">
        <f>SUM(Urakkatunnit!F10:F24)</f>
        <v>0</v>
      </c>
      <c r="H12" s="309" t="s">
        <v>341</v>
      </c>
      <c r="I12" s="310">
        <f t="shared" si="0"/>
        <v>0</v>
      </c>
      <c r="J12" s="305" t="s">
        <v>318</v>
      </c>
      <c r="K12" s="301"/>
      <c r="L12" s="301"/>
    </row>
    <row r="13" spans="1:12" ht="14.25" x14ac:dyDescent="0.2">
      <c r="A13" s="516" t="s">
        <v>463</v>
      </c>
      <c r="B13" s="521"/>
      <c r="C13" s="521"/>
      <c r="D13" s="522"/>
      <c r="E13" s="327"/>
      <c r="F13" s="308" t="s">
        <v>340</v>
      </c>
      <c r="G13" s="523">
        <f>SUM(Urakkatunnit!F26:F29)</f>
        <v>0</v>
      </c>
      <c r="H13" s="309" t="s">
        <v>341</v>
      </c>
      <c r="I13" s="310">
        <f t="shared" si="0"/>
        <v>0</v>
      </c>
      <c r="J13" s="305"/>
      <c r="K13" s="301"/>
      <c r="L13" s="301"/>
    </row>
    <row r="14" spans="1:12" ht="14.25" x14ac:dyDescent="0.2">
      <c r="A14" s="306" t="s">
        <v>462</v>
      </c>
      <c r="B14" s="301"/>
      <c r="C14" s="301"/>
      <c r="D14" s="311"/>
      <c r="E14" s="514"/>
      <c r="F14" s="315"/>
      <c r="G14" s="309">
        <f>SUM(Urakkatunnit!H31:H34)</f>
        <v>0</v>
      </c>
      <c r="H14" s="309" t="s">
        <v>341</v>
      </c>
      <c r="I14" s="304">
        <f>SUM(Urakkatunnit!I31:I34)</f>
        <v>0</v>
      </c>
      <c r="J14" s="515" t="s">
        <v>318</v>
      </c>
      <c r="K14" s="301"/>
      <c r="L14" s="301"/>
    </row>
    <row r="15" spans="1:12" ht="14.25" x14ac:dyDescent="0.2">
      <c r="A15" s="301"/>
      <c r="B15" s="301"/>
      <c r="C15" s="301"/>
      <c r="D15" s="311"/>
      <c r="E15" s="513"/>
      <c r="F15" s="315"/>
      <c r="G15" s="300"/>
      <c r="H15" s="300"/>
      <c r="I15" s="304"/>
      <c r="J15" s="305"/>
      <c r="K15" s="301"/>
      <c r="L15" s="301"/>
    </row>
    <row r="16" spans="1:12" ht="14.25" x14ac:dyDescent="0.2">
      <c r="A16" s="312" t="s">
        <v>342</v>
      </c>
      <c r="B16" s="313"/>
      <c r="C16" s="313"/>
      <c r="D16" s="300"/>
      <c r="E16" s="314"/>
      <c r="F16" s="315"/>
      <c r="G16" s="300"/>
      <c r="H16" s="300" t="s">
        <v>343</v>
      </c>
      <c r="I16" s="316" t="e">
        <f>SUM(I7-I8-I9-I10-I11-I12-I13-I14)</f>
        <v>#DIV/0!</v>
      </c>
      <c r="J16" s="305" t="s">
        <v>318</v>
      </c>
      <c r="K16" s="301"/>
      <c r="L16" s="301"/>
    </row>
    <row r="17" spans="1:12" ht="14.25" x14ac:dyDescent="0.2">
      <c r="A17" s="312"/>
      <c r="B17" s="313"/>
      <c r="C17" s="313"/>
      <c r="D17" s="300"/>
      <c r="E17" s="314"/>
      <c r="F17" s="315"/>
      <c r="G17" s="300"/>
      <c r="H17" s="300"/>
      <c r="I17" s="313"/>
      <c r="J17" s="512"/>
      <c r="K17" s="301"/>
      <c r="L17" s="301"/>
    </row>
    <row r="18" spans="1:12" ht="14.25" x14ac:dyDescent="0.2">
      <c r="A18" s="312"/>
      <c r="B18" s="313"/>
      <c r="C18" s="313"/>
      <c r="D18" s="300"/>
      <c r="E18" s="314"/>
      <c r="F18" s="315"/>
      <c r="G18" s="300"/>
      <c r="H18" s="300"/>
      <c r="I18" s="313"/>
      <c r="J18" s="512"/>
      <c r="K18" s="301"/>
      <c r="L18" s="301"/>
    </row>
    <row r="19" spans="1:12" ht="14.25" x14ac:dyDescent="0.2">
      <c r="A19" s="300" t="s">
        <v>344</v>
      </c>
      <c r="B19" s="300"/>
      <c r="C19" s="300"/>
      <c r="D19" s="317"/>
      <c r="E19" s="307"/>
      <c r="F19" s="315"/>
      <c r="G19" s="302"/>
      <c r="H19" s="300"/>
      <c r="I19" s="318"/>
      <c r="J19" s="301"/>
      <c r="K19" s="301"/>
      <c r="L19" s="301"/>
    </row>
    <row r="20" spans="1:12" ht="14.25" x14ac:dyDescent="0.2">
      <c r="A20" s="300" t="s">
        <v>345</v>
      </c>
      <c r="B20" s="300"/>
      <c r="C20" s="300"/>
      <c r="D20" s="300"/>
      <c r="E20" s="319">
        <v>5.2999999999999999E-2</v>
      </c>
      <c r="F20" s="308" t="s">
        <v>323</v>
      </c>
      <c r="G20" s="304" t="e">
        <f>I16</f>
        <v>#DIV/0!</v>
      </c>
      <c r="H20" s="309" t="s">
        <v>346</v>
      </c>
      <c r="I20" s="310" t="e">
        <f>E20*G20</f>
        <v>#DIV/0!</v>
      </c>
      <c r="J20" s="305" t="s">
        <v>318</v>
      </c>
      <c r="K20" s="301"/>
      <c r="L20" s="301"/>
    </row>
    <row r="21" spans="1:12" ht="14.25" x14ac:dyDescent="0.2">
      <c r="A21" s="300" t="s">
        <v>347</v>
      </c>
      <c r="B21" s="300"/>
      <c r="C21" s="300"/>
      <c r="D21" s="307" t="s">
        <v>5</v>
      </c>
      <c r="E21" s="328"/>
      <c r="F21" s="308" t="s">
        <v>340</v>
      </c>
      <c r="G21" s="329"/>
      <c r="H21" s="309" t="s">
        <v>341</v>
      </c>
      <c r="I21" s="320">
        <f>E21*G21</f>
        <v>0</v>
      </c>
      <c r="J21" s="305"/>
      <c r="K21" s="301"/>
      <c r="L21" s="301"/>
    </row>
    <row r="22" spans="1:12" ht="14.25" x14ac:dyDescent="0.2">
      <c r="A22" s="300"/>
      <c r="B22" s="300"/>
      <c r="C22" s="300"/>
      <c r="D22" s="307" t="s">
        <v>6</v>
      </c>
      <c r="E22" s="328"/>
      <c r="F22" s="308" t="s">
        <v>340</v>
      </c>
      <c r="G22" s="329"/>
      <c r="H22" s="309" t="s">
        <v>341</v>
      </c>
      <c r="I22" s="320">
        <f>E22*G22</f>
        <v>0</v>
      </c>
      <c r="J22" s="305"/>
      <c r="K22" s="301"/>
      <c r="L22" s="301"/>
    </row>
    <row r="23" spans="1:12" ht="15" thickBot="1" x14ac:dyDescent="0.25">
      <c r="A23" s="301"/>
      <c r="B23" s="315"/>
      <c r="C23" s="315"/>
      <c r="D23" s="307" t="s">
        <v>7</v>
      </c>
      <c r="E23" s="328"/>
      <c r="F23" s="308" t="s">
        <v>340</v>
      </c>
      <c r="G23" s="329"/>
      <c r="H23" s="309" t="s">
        <v>341</v>
      </c>
      <c r="I23" s="320">
        <f>E23*G23</f>
        <v>0</v>
      </c>
      <c r="J23" s="305" t="s">
        <v>318</v>
      </c>
      <c r="K23" s="301"/>
      <c r="L23" s="301"/>
    </row>
    <row r="24" spans="1:12" ht="15" thickBot="1" x14ac:dyDescent="0.25">
      <c r="A24" s="267" t="s">
        <v>348</v>
      </c>
      <c r="B24" s="267"/>
      <c r="C24" s="267"/>
      <c r="D24" s="267"/>
      <c r="E24" s="321"/>
      <c r="F24" s="315"/>
      <c r="G24" s="300"/>
      <c r="H24" s="300"/>
      <c r="I24" s="322" t="e">
        <f>I20-I21-I22-I23</f>
        <v>#DIV/0!</v>
      </c>
      <c r="J24" s="305" t="s">
        <v>318</v>
      </c>
      <c r="K24" s="301"/>
      <c r="L24" s="301"/>
    </row>
    <row r="25" spans="1:12" ht="15" thickBot="1" x14ac:dyDescent="0.25">
      <c r="A25" s="267" t="s">
        <v>349</v>
      </c>
      <c r="B25" s="267"/>
      <c r="C25" s="267"/>
      <c r="D25" s="267"/>
      <c r="E25" s="323" t="e">
        <f>I24</f>
        <v>#DIV/0!</v>
      </c>
      <c r="F25" s="308" t="s">
        <v>350</v>
      </c>
      <c r="G25" s="324">
        <f>SUM(G21:G23)</f>
        <v>0</v>
      </c>
      <c r="H25" s="309" t="s">
        <v>341</v>
      </c>
      <c r="I25" s="325" t="e">
        <f>E25/G25</f>
        <v>#DIV/0!</v>
      </c>
      <c r="J25" s="305" t="s">
        <v>330</v>
      </c>
      <c r="K25" s="301"/>
      <c r="L25" s="301"/>
    </row>
    <row r="26" spans="1:12" ht="15.75" thickBot="1" x14ac:dyDescent="0.3">
      <c r="A26" s="267" t="s">
        <v>351</v>
      </c>
      <c r="B26" s="865"/>
      <c r="C26" s="866"/>
      <c r="D26" s="867"/>
      <c r="E26" s="330"/>
      <c r="F26" s="308" t="s">
        <v>352</v>
      </c>
      <c r="G26" s="304" t="e">
        <f>I25</f>
        <v>#DIV/0!</v>
      </c>
      <c r="H26" s="268" t="s">
        <v>346</v>
      </c>
      <c r="I26" s="331" t="e">
        <f>E26*G26</f>
        <v>#DIV/0!</v>
      </c>
      <c r="J26" s="305" t="s">
        <v>318</v>
      </c>
      <c r="K26" s="326" t="s">
        <v>353</v>
      </c>
      <c r="L26" s="301"/>
    </row>
    <row r="27" spans="1:12" ht="15.75" thickBot="1" x14ac:dyDescent="0.3">
      <c r="A27" s="267" t="s">
        <v>354</v>
      </c>
      <c r="B27" s="865"/>
      <c r="C27" s="866"/>
      <c r="D27" s="867"/>
      <c r="E27" s="330"/>
      <c r="F27" s="308" t="s">
        <v>352</v>
      </c>
      <c r="G27" s="304" t="e">
        <f>I25</f>
        <v>#DIV/0!</v>
      </c>
      <c r="H27" s="268" t="s">
        <v>346</v>
      </c>
      <c r="I27" s="332" t="e">
        <f>E27*G27</f>
        <v>#DIV/0!</v>
      </c>
      <c r="J27" s="305" t="s">
        <v>318</v>
      </c>
      <c r="K27" s="326" t="s">
        <v>353</v>
      </c>
      <c r="L27" s="301"/>
    </row>
    <row r="28" spans="1:12" ht="14.25" x14ac:dyDescent="0.2">
      <c r="A28" s="267"/>
      <c r="B28" s="267"/>
      <c r="C28" s="267"/>
      <c r="D28" s="267"/>
      <c r="E28" s="267"/>
      <c r="F28" s="267"/>
      <c r="G28" s="267"/>
      <c r="H28" s="267"/>
      <c r="I28" s="267"/>
      <c r="J28" s="301"/>
      <c r="K28" s="301"/>
      <c r="L28" s="301"/>
    </row>
    <row r="29" spans="1:12" x14ac:dyDescent="0.2">
      <c r="A29" s="301"/>
      <c r="B29" s="301"/>
      <c r="C29" s="301"/>
      <c r="D29" s="301"/>
      <c r="E29" s="301"/>
      <c r="F29" s="301"/>
      <c r="G29" s="301"/>
      <c r="H29" s="301"/>
      <c r="I29" s="301"/>
      <c r="J29" s="301"/>
      <c r="K29" s="301"/>
      <c r="L29" s="301"/>
    </row>
  </sheetData>
  <sheetProtection password="C75E" sheet="1"/>
  <mergeCells count="4">
    <mergeCell ref="A4:D4"/>
    <mergeCell ref="E7:F7"/>
    <mergeCell ref="B26:D26"/>
    <mergeCell ref="B27:D27"/>
  </mergeCells>
  <hyperlinks>
    <hyperlink ref="A2" location="Etusivu!A1" tooltip="Tästä pääset etusivulle" display="Etusivu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47"/>
  <sheetViews>
    <sheetView workbookViewId="0"/>
  </sheetViews>
  <sheetFormatPr defaultColWidth="9.140625" defaultRowHeight="12.75" x14ac:dyDescent="0.2"/>
  <cols>
    <col min="1" max="1" width="21" style="148" customWidth="1"/>
    <col min="2" max="2" width="0.140625" style="148" hidden="1" customWidth="1"/>
    <col min="3" max="3" width="9.140625" style="148" hidden="1" customWidth="1"/>
    <col min="4" max="6" width="9.140625" style="148"/>
    <col min="7" max="7" width="10.28515625" style="148" customWidth="1"/>
    <col min="8" max="9" width="10.5703125" style="148" customWidth="1"/>
    <col min="10" max="10" width="11.42578125" style="148" customWidth="1"/>
    <col min="11" max="11" width="10.5703125" style="148" customWidth="1"/>
    <col min="12" max="16384" width="9.140625" style="148"/>
  </cols>
  <sheetData>
    <row r="1" spans="1:13" x14ac:dyDescent="0.2">
      <c r="A1" s="367" t="s">
        <v>234</v>
      </c>
    </row>
    <row r="2" spans="1:13" ht="15.75" x14ac:dyDescent="0.25">
      <c r="A2" s="858" t="s">
        <v>356</v>
      </c>
      <c r="B2" s="858"/>
      <c r="C2" s="858"/>
      <c r="D2" s="858"/>
      <c r="E2" s="858"/>
      <c r="F2" s="858"/>
      <c r="G2" s="858"/>
      <c r="H2" s="858"/>
      <c r="I2" s="858"/>
      <c r="J2" s="858"/>
      <c r="K2" s="858"/>
      <c r="L2" s="858"/>
      <c r="M2" s="858"/>
    </row>
    <row r="3" spans="1:13" x14ac:dyDescent="0.2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</row>
    <row r="4" spans="1:13" x14ac:dyDescent="0.2">
      <c r="A4" s="381" t="s">
        <v>357</v>
      </c>
      <c r="B4" s="382"/>
      <c r="C4" s="382"/>
      <c r="D4" s="868">
        <f>Etusivu!D48</f>
        <v>0</v>
      </c>
      <c r="E4" s="868"/>
      <c r="F4" s="868"/>
      <c r="G4" s="868"/>
      <c r="H4" s="163"/>
      <c r="I4" s="163"/>
      <c r="J4" s="163"/>
      <c r="K4" s="163"/>
      <c r="L4" s="163"/>
      <c r="M4" s="163"/>
    </row>
    <row r="5" spans="1:13" x14ac:dyDescent="0.2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</row>
    <row r="6" spans="1:13" x14ac:dyDescent="0.2">
      <c r="A6" s="382" t="s">
        <v>358</v>
      </c>
      <c r="B6" s="382"/>
      <c r="C6" s="382"/>
      <c r="D6" s="871" t="e">
        <f>SUM('NHK muuttuu kesken urakan'!J29)</f>
        <v>#DIV/0!</v>
      </c>
      <c r="E6" s="871"/>
      <c r="F6" s="871"/>
      <c r="G6" s="871"/>
      <c r="H6" s="163"/>
      <c r="I6" s="163"/>
      <c r="J6" s="163"/>
      <c r="K6" s="163"/>
      <c r="L6" s="163"/>
      <c r="M6" s="163"/>
    </row>
    <row r="7" spans="1:13" x14ac:dyDescent="0.2">
      <c r="A7" s="295" t="s">
        <v>460</v>
      </c>
      <c r="B7" s="163"/>
      <c r="C7" s="163"/>
      <c r="D7" s="873">
        <f>SUM(J33:J36)</f>
        <v>0</v>
      </c>
      <c r="E7" s="874"/>
      <c r="F7" s="874"/>
      <c r="G7" s="874"/>
      <c r="H7" s="163"/>
      <c r="I7" s="163"/>
      <c r="J7" s="163"/>
      <c r="K7" s="163"/>
      <c r="L7" s="163"/>
      <c r="M7" s="163"/>
    </row>
    <row r="8" spans="1:13" x14ac:dyDescent="0.2">
      <c r="A8" s="295" t="s">
        <v>459</v>
      </c>
      <c r="B8" s="163"/>
      <c r="C8" s="163"/>
      <c r="D8" s="875" t="e">
        <f>SUM(D6-D7)</f>
        <v>#DIV/0!</v>
      </c>
      <c r="E8" s="876"/>
      <c r="F8" s="876"/>
      <c r="G8" s="876"/>
      <c r="H8" s="383"/>
      <c r="I8" s="163"/>
      <c r="J8" s="163"/>
      <c r="K8" s="163"/>
      <c r="L8" s="163"/>
      <c r="M8" s="163"/>
    </row>
    <row r="9" spans="1:13" x14ac:dyDescent="0.2">
      <c r="A9" s="163"/>
      <c r="B9" s="163"/>
      <c r="C9" s="163"/>
      <c r="D9" s="163"/>
      <c r="E9" s="163"/>
      <c r="F9" s="163"/>
      <c r="G9" s="384"/>
      <c r="H9" s="382"/>
      <c r="I9" s="163"/>
      <c r="J9" s="163"/>
      <c r="K9" s="163"/>
      <c r="L9" s="163"/>
      <c r="M9" s="163"/>
    </row>
    <row r="10" spans="1:13" x14ac:dyDescent="0.2">
      <c r="A10" s="385"/>
      <c r="B10" s="163"/>
      <c r="C10" s="163"/>
      <c r="D10" s="386"/>
      <c r="E10" s="869" t="s">
        <v>441</v>
      </c>
      <c r="F10" s="387" t="s">
        <v>359</v>
      </c>
      <c r="G10" s="388" t="s">
        <v>360</v>
      </c>
      <c r="H10" s="386" t="s">
        <v>361</v>
      </c>
      <c r="I10" s="389" t="s">
        <v>362</v>
      </c>
      <c r="J10" s="386" t="s">
        <v>361</v>
      </c>
      <c r="K10" s="386"/>
      <c r="L10" s="151"/>
      <c r="M10" s="151"/>
    </row>
    <row r="11" spans="1:13" x14ac:dyDescent="0.2">
      <c r="A11" s="390" t="s">
        <v>363</v>
      </c>
      <c r="B11" s="391"/>
      <c r="C11" s="391"/>
      <c r="D11" s="392" t="s">
        <v>364</v>
      </c>
      <c r="E11" s="870"/>
      <c r="F11" s="393" t="s">
        <v>365</v>
      </c>
      <c r="G11" s="394" t="s">
        <v>366</v>
      </c>
      <c r="H11" s="394" t="s">
        <v>334</v>
      </c>
      <c r="I11" s="395" t="s">
        <v>367</v>
      </c>
      <c r="J11" s="396" t="s">
        <v>368</v>
      </c>
      <c r="K11" s="397" t="s">
        <v>369</v>
      </c>
      <c r="L11" s="151"/>
      <c r="M11" s="151"/>
    </row>
    <row r="12" spans="1:13" x14ac:dyDescent="0.2">
      <c r="A12" s="398">
        <f>Urakkatunnit!A10</f>
        <v>0</v>
      </c>
      <c r="B12" s="391"/>
      <c r="C12" s="391"/>
      <c r="D12" s="399">
        <f>SUM(Urakkatunnit!H10)</f>
        <v>0</v>
      </c>
      <c r="E12" s="429"/>
      <c r="F12" s="400">
        <f t="shared" ref="F12:F31" si="0">D12*E12</f>
        <v>0</v>
      </c>
      <c r="G12" s="401">
        <f>SUM(Urakkatunnit!I10)</f>
        <v>0</v>
      </c>
      <c r="H12" s="402">
        <f>SUM(Välipohjat!M7)</f>
        <v>0</v>
      </c>
      <c r="I12" s="403" t="e">
        <f>F12*$D$8/$F$37</f>
        <v>#DIV/0!</v>
      </c>
      <c r="J12" s="402">
        <f>G12+H12</f>
        <v>0</v>
      </c>
      <c r="K12" s="404" t="e">
        <f t="shared" ref="K12:K31" si="1">I12-J12</f>
        <v>#DIV/0!</v>
      </c>
      <c r="L12" s="405"/>
      <c r="M12" s="405"/>
    </row>
    <row r="13" spans="1:13" x14ac:dyDescent="0.2">
      <c r="A13" s="398">
        <f>Urakkatunnit!A11</f>
        <v>0</v>
      </c>
      <c r="B13" s="391"/>
      <c r="C13" s="391"/>
      <c r="D13" s="399">
        <f>SUM(Urakkatunnit!H11)</f>
        <v>0</v>
      </c>
      <c r="E13" s="429"/>
      <c r="F13" s="400">
        <f t="shared" si="0"/>
        <v>0</v>
      </c>
      <c r="G13" s="401">
        <f>SUM(Urakkatunnit!I11)</f>
        <v>0</v>
      </c>
      <c r="H13" s="402">
        <f>SUM(Välipohjat!M8)</f>
        <v>0</v>
      </c>
      <c r="I13" s="403" t="e">
        <f t="shared" ref="I13:I31" si="2">F13*$D$8/$F$37</f>
        <v>#DIV/0!</v>
      </c>
      <c r="J13" s="402">
        <f t="shared" ref="J13:J31" si="3">G13+H13</f>
        <v>0</v>
      </c>
      <c r="K13" s="404" t="e">
        <f t="shared" si="1"/>
        <v>#DIV/0!</v>
      </c>
      <c r="L13" s="405"/>
      <c r="M13" s="405"/>
    </row>
    <row r="14" spans="1:13" x14ac:dyDescent="0.2">
      <c r="A14" s="398">
        <f>Urakkatunnit!A12</f>
        <v>0</v>
      </c>
      <c r="B14" s="391"/>
      <c r="C14" s="391"/>
      <c r="D14" s="399">
        <f>SUM(Urakkatunnit!H12)</f>
        <v>0</v>
      </c>
      <c r="E14" s="429"/>
      <c r="F14" s="400">
        <f t="shared" si="0"/>
        <v>0</v>
      </c>
      <c r="G14" s="401">
        <f>SUM(Urakkatunnit!I12)</f>
        <v>0</v>
      </c>
      <c r="H14" s="402">
        <f>SUM(Välipohjat!M9)</f>
        <v>0</v>
      </c>
      <c r="I14" s="403" t="e">
        <f t="shared" si="2"/>
        <v>#DIV/0!</v>
      </c>
      <c r="J14" s="402">
        <f t="shared" si="3"/>
        <v>0</v>
      </c>
      <c r="K14" s="404" t="e">
        <f t="shared" si="1"/>
        <v>#DIV/0!</v>
      </c>
      <c r="L14" s="405"/>
      <c r="M14" s="405"/>
    </row>
    <row r="15" spans="1:13" x14ac:dyDescent="0.2">
      <c r="A15" s="398">
        <f>Urakkatunnit!A13</f>
        <v>0</v>
      </c>
      <c r="B15" s="391"/>
      <c r="C15" s="391"/>
      <c r="D15" s="399">
        <f>SUM(Urakkatunnit!H13)</f>
        <v>0</v>
      </c>
      <c r="E15" s="429"/>
      <c r="F15" s="400">
        <f t="shared" si="0"/>
        <v>0</v>
      </c>
      <c r="G15" s="401">
        <f>SUM(Urakkatunnit!I13)</f>
        <v>0</v>
      </c>
      <c r="H15" s="402">
        <f>SUM(Välipohjat!M10)</f>
        <v>0</v>
      </c>
      <c r="I15" s="403" t="e">
        <f t="shared" si="2"/>
        <v>#DIV/0!</v>
      </c>
      <c r="J15" s="402">
        <f t="shared" si="3"/>
        <v>0</v>
      </c>
      <c r="K15" s="404" t="e">
        <f t="shared" si="1"/>
        <v>#DIV/0!</v>
      </c>
      <c r="L15" s="405"/>
      <c r="M15" s="405"/>
    </row>
    <row r="16" spans="1:13" x14ac:dyDescent="0.2">
      <c r="A16" s="398">
        <f>Urakkatunnit!A14</f>
        <v>0</v>
      </c>
      <c r="B16" s="391"/>
      <c r="C16" s="391"/>
      <c r="D16" s="399">
        <f>SUM(Urakkatunnit!H14)</f>
        <v>0</v>
      </c>
      <c r="E16" s="429"/>
      <c r="F16" s="400">
        <f t="shared" si="0"/>
        <v>0</v>
      </c>
      <c r="G16" s="401">
        <f>SUM(Urakkatunnit!I14)</f>
        <v>0</v>
      </c>
      <c r="H16" s="402">
        <f>SUM(Välipohjat!M11)</f>
        <v>0</v>
      </c>
      <c r="I16" s="403" t="e">
        <f t="shared" si="2"/>
        <v>#DIV/0!</v>
      </c>
      <c r="J16" s="402">
        <f t="shared" si="3"/>
        <v>0</v>
      </c>
      <c r="K16" s="404" t="e">
        <f t="shared" si="1"/>
        <v>#DIV/0!</v>
      </c>
      <c r="L16" s="405"/>
      <c r="M16" s="405"/>
    </row>
    <row r="17" spans="1:13" x14ac:dyDescent="0.2">
      <c r="A17" s="398">
        <f>Urakkatunnit!A15</f>
        <v>0</v>
      </c>
      <c r="B17" s="391"/>
      <c r="C17" s="391"/>
      <c r="D17" s="399">
        <f>SUM(Urakkatunnit!H15)</f>
        <v>0</v>
      </c>
      <c r="E17" s="429"/>
      <c r="F17" s="400">
        <f t="shared" si="0"/>
        <v>0</v>
      </c>
      <c r="G17" s="401">
        <f>SUM(Urakkatunnit!I15)</f>
        <v>0</v>
      </c>
      <c r="H17" s="402">
        <f>SUM(Välipohjat!M12)</f>
        <v>0</v>
      </c>
      <c r="I17" s="403" t="e">
        <f t="shared" si="2"/>
        <v>#DIV/0!</v>
      </c>
      <c r="J17" s="402">
        <f t="shared" si="3"/>
        <v>0</v>
      </c>
      <c r="K17" s="404" t="e">
        <f t="shared" si="1"/>
        <v>#DIV/0!</v>
      </c>
      <c r="L17" s="405"/>
      <c r="M17" s="405"/>
    </row>
    <row r="18" spans="1:13" x14ac:dyDescent="0.2">
      <c r="A18" s="398">
        <f>Urakkatunnit!A16</f>
        <v>0</v>
      </c>
      <c r="B18" s="391"/>
      <c r="C18" s="391"/>
      <c r="D18" s="399">
        <f>SUM(Urakkatunnit!H16)</f>
        <v>0</v>
      </c>
      <c r="E18" s="429"/>
      <c r="F18" s="400">
        <f t="shared" si="0"/>
        <v>0</v>
      </c>
      <c r="G18" s="401">
        <f>SUM(Urakkatunnit!I16)</f>
        <v>0</v>
      </c>
      <c r="H18" s="402">
        <f>SUM(Välipohjat!M13)</f>
        <v>0</v>
      </c>
      <c r="I18" s="403" t="e">
        <f t="shared" si="2"/>
        <v>#DIV/0!</v>
      </c>
      <c r="J18" s="402">
        <f t="shared" si="3"/>
        <v>0</v>
      </c>
      <c r="K18" s="404" t="e">
        <f t="shared" si="1"/>
        <v>#DIV/0!</v>
      </c>
      <c r="L18" s="405"/>
      <c r="M18" s="405"/>
    </row>
    <row r="19" spans="1:13" x14ac:dyDescent="0.2">
      <c r="A19" s="398">
        <f>Urakkatunnit!A17</f>
        <v>0</v>
      </c>
      <c r="B19" s="406"/>
      <c r="C19" s="391"/>
      <c r="D19" s="399">
        <f>SUM(Urakkatunnit!H17)</f>
        <v>0</v>
      </c>
      <c r="E19" s="429"/>
      <c r="F19" s="400">
        <f t="shared" si="0"/>
        <v>0</v>
      </c>
      <c r="G19" s="401">
        <f>SUM(Urakkatunnit!I17)</f>
        <v>0</v>
      </c>
      <c r="H19" s="402">
        <f>SUM(Välipohjat!M14)</f>
        <v>0</v>
      </c>
      <c r="I19" s="403" t="e">
        <f t="shared" si="2"/>
        <v>#DIV/0!</v>
      </c>
      <c r="J19" s="402">
        <f t="shared" si="3"/>
        <v>0</v>
      </c>
      <c r="K19" s="404" t="e">
        <f t="shared" si="1"/>
        <v>#DIV/0!</v>
      </c>
      <c r="L19" s="405"/>
      <c r="M19" s="405"/>
    </row>
    <row r="20" spans="1:13" x14ac:dyDescent="0.2">
      <c r="A20" s="398">
        <f>Urakkatunnit!A18</f>
        <v>0</v>
      </c>
      <c r="B20" s="391"/>
      <c r="C20" s="391"/>
      <c r="D20" s="399">
        <f>SUM(Urakkatunnit!H18)</f>
        <v>0</v>
      </c>
      <c r="E20" s="429"/>
      <c r="F20" s="400">
        <f t="shared" si="0"/>
        <v>0</v>
      </c>
      <c r="G20" s="401">
        <f>SUM(Urakkatunnit!I18)</f>
        <v>0</v>
      </c>
      <c r="H20" s="402">
        <f>SUM(Välipohjat!M15)</f>
        <v>0</v>
      </c>
      <c r="I20" s="403" t="e">
        <f t="shared" si="2"/>
        <v>#DIV/0!</v>
      </c>
      <c r="J20" s="402">
        <f t="shared" si="3"/>
        <v>0</v>
      </c>
      <c r="K20" s="404" t="e">
        <f t="shared" si="1"/>
        <v>#DIV/0!</v>
      </c>
      <c r="L20" s="405"/>
      <c r="M20" s="405"/>
    </row>
    <row r="21" spans="1:13" x14ac:dyDescent="0.2">
      <c r="A21" s="398">
        <f>Urakkatunnit!A19</f>
        <v>0</v>
      </c>
      <c r="B21" s="391"/>
      <c r="C21" s="391"/>
      <c r="D21" s="399">
        <f>SUM(Urakkatunnit!H19)</f>
        <v>0</v>
      </c>
      <c r="E21" s="429"/>
      <c r="F21" s="400">
        <f t="shared" si="0"/>
        <v>0</v>
      </c>
      <c r="G21" s="401">
        <f>SUM(Urakkatunnit!I19)</f>
        <v>0</v>
      </c>
      <c r="H21" s="402">
        <f>SUM(Välipohjat!M16)</f>
        <v>0</v>
      </c>
      <c r="I21" s="403" t="e">
        <f t="shared" si="2"/>
        <v>#DIV/0!</v>
      </c>
      <c r="J21" s="402">
        <f t="shared" si="3"/>
        <v>0</v>
      </c>
      <c r="K21" s="404" t="e">
        <f t="shared" si="1"/>
        <v>#DIV/0!</v>
      </c>
      <c r="L21" s="405"/>
      <c r="M21" s="405"/>
    </row>
    <row r="22" spans="1:13" x14ac:dyDescent="0.2">
      <c r="A22" s="398">
        <f>Urakkatunnit!A20</f>
        <v>0</v>
      </c>
      <c r="B22" s="391"/>
      <c r="C22" s="391"/>
      <c r="D22" s="399">
        <f>SUM(Urakkatunnit!H20)</f>
        <v>0</v>
      </c>
      <c r="E22" s="429"/>
      <c r="F22" s="400">
        <f t="shared" si="0"/>
        <v>0</v>
      </c>
      <c r="G22" s="401">
        <f>SUM(Urakkatunnit!I20)</f>
        <v>0</v>
      </c>
      <c r="H22" s="402">
        <f>SUM(Välipohjat!M17)</f>
        <v>0</v>
      </c>
      <c r="I22" s="403" t="e">
        <f t="shared" si="2"/>
        <v>#DIV/0!</v>
      </c>
      <c r="J22" s="402">
        <f t="shared" si="3"/>
        <v>0</v>
      </c>
      <c r="K22" s="404" t="e">
        <f t="shared" si="1"/>
        <v>#DIV/0!</v>
      </c>
      <c r="L22" s="405"/>
      <c r="M22" s="405"/>
    </row>
    <row r="23" spans="1:13" x14ac:dyDescent="0.2">
      <c r="A23" s="398">
        <f>Urakkatunnit!A21</f>
        <v>0</v>
      </c>
      <c r="B23" s="391"/>
      <c r="C23" s="391"/>
      <c r="D23" s="399">
        <f>SUM(Urakkatunnit!H21)</f>
        <v>0</v>
      </c>
      <c r="E23" s="429"/>
      <c r="F23" s="400">
        <f t="shared" si="0"/>
        <v>0</v>
      </c>
      <c r="G23" s="401">
        <f>SUM(Urakkatunnit!I21)</f>
        <v>0</v>
      </c>
      <c r="H23" s="402">
        <f>SUM(Välipohjat!M18)</f>
        <v>0</v>
      </c>
      <c r="I23" s="403" t="e">
        <f t="shared" si="2"/>
        <v>#DIV/0!</v>
      </c>
      <c r="J23" s="402">
        <f t="shared" si="3"/>
        <v>0</v>
      </c>
      <c r="K23" s="404" t="e">
        <f t="shared" si="1"/>
        <v>#DIV/0!</v>
      </c>
      <c r="L23" s="405"/>
      <c r="M23" s="405"/>
    </row>
    <row r="24" spans="1:13" x14ac:dyDescent="0.2">
      <c r="A24" s="398">
        <f>Urakkatunnit!A22</f>
        <v>0</v>
      </c>
      <c r="B24" s="391"/>
      <c r="C24" s="391"/>
      <c r="D24" s="399">
        <f>SUM(Urakkatunnit!H22)</f>
        <v>0</v>
      </c>
      <c r="E24" s="429"/>
      <c r="F24" s="400">
        <f t="shared" si="0"/>
        <v>0</v>
      </c>
      <c r="G24" s="401">
        <f>SUM(Urakkatunnit!I22)</f>
        <v>0</v>
      </c>
      <c r="H24" s="402">
        <f>SUM(Välipohjat!M19)</f>
        <v>0</v>
      </c>
      <c r="I24" s="403" t="e">
        <f t="shared" si="2"/>
        <v>#DIV/0!</v>
      </c>
      <c r="J24" s="402">
        <f t="shared" si="3"/>
        <v>0</v>
      </c>
      <c r="K24" s="404" t="e">
        <f t="shared" si="1"/>
        <v>#DIV/0!</v>
      </c>
      <c r="L24" s="405"/>
      <c r="M24" s="405"/>
    </row>
    <row r="25" spans="1:13" x14ac:dyDescent="0.2">
      <c r="A25" s="398">
        <f>Urakkatunnit!A23</f>
        <v>0</v>
      </c>
      <c r="B25" s="391"/>
      <c r="C25" s="391"/>
      <c r="D25" s="399">
        <f>SUM(Urakkatunnit!H23)</f>
        <v>0</v>
      </c>
      <c r="E25" s="429"/>
      <c r="F25" s="400">
        <f t="shared" si="0"/>
        <v>0</v>
      </c>
      <c r="G25" s="401">
        <f>SUM(Urakkatunnit!I23)</f>
        <v>0</v>
      </c>
      <c r="H25" s="402">
        <f>SUM(Välipohjat!M20)</f>
        <v>0</v>
      </c>
      <c r="I25" s="403" t="e">
        <f t="shared" si="2"/>
        <v>#DIV/0!</v>
      </c>
      <c r="J25" s="402">
        <f t="shared" si="3"/>
        <v>0</v>
      </c>
      <c r="K25" s="404" t="e">
        <f t="shared" si="1"/>
        <v>#DIV/0!</v>
      </c>
      <c r="L25" s="405"/>
      <c r="M25" s="405"/>
    </row>
    <row r="26" spans="1:13" x14ac:dyDescent="0.2">
      <c r="A26" s="524">
        <f>Urakkatunnit!A24</f>
        <v>0</v>
      </c>
      <c r="B26" s="385"/>
      <c r="C26" s="385"/>
      <c r="D26" s="525">
        <f>SUM(Urakkatunnit!H24)</f>
        <v>0</v>
      </c>
      <c r="E26" s="429"/>
      <c r="F26" s="526">
        <f t="shared" si="0"/>
        <v>0</v>
      </c>
      <c r="G26" s="527">
        <f>SUM(Urakkatunnit!I24)</f>
        <v>0</v>
      </c>
      <c r="H26" s="402">
        <f>SUM(Välipohjat!M21)</f>
        <v>0</v>
      </c>
      <c r="I26" s="529" t="e">
        <f t="shared" si="2"/>
        <v>#DIV/0!</v>
      </c>
      <c r="J26" s="528">
        <f t="shared" si="3"/>
        <v>0</v>
      </c>
      <c r="K26" s="530" t="e">
        <f t="shared" si="1"/>
        <v>#DIV/0!</v>
      </c>
      <c r="L26" s="405"/>
      <c r="M26" s="405"/>
    </row>
    <row r="27" spans="1:13" ht="25.5" customHeight="1" x14ac:dyDescent="0.2">
      <c r="A27" s="877" t="s">
        <v>531</v>
      </c>
      <c r="B27" s="878"/>
      <c r="C27" s="878"/>
      <c r="D27" s="878"/>
      <c r="E27" s="878"/>
      <c r="F27" s="878"/>
      <c r="G27" s="878"/>
      <c r="H27" s="878"/>
      <c r="I27" s="878"/>
      <c r="J27" s="878"/>
      <c r="K27" s="879"/>
    </row>
    <row r="28" spans="1:13" x14ac:dyDescent="0.2">
      <c r="A28" s="541">
        <f>Urakkatunnit!A26</f>
        <v>0</v>
      </c>
      <c r="B28" s="542"/>
      <c r="C28" s="542"/>
      <c r="D28" s="390">
        <f>SUM(Urakkatunnit!H26)</f>
        <v>0</v>
      </c>
      <c r="E28" s="531"/>
      <c r="F28" s="536">
        <f t="shared" si="0"/>
        <v>0</v>
      </c>
      <c r="G28" s="537">
        <f>SUM(Urakkatunnit!I26)</f>
        <v>0</v>
      </c>
      <c r="H28" s="538">
        <f>SUM(Välipohjat!M22)</f>
        <v>0</v>
      </c>
      <c r="I28" s="539" t="e">
        <f t="shared" si="2"/>
        <v>#DIV/0!</v>
      </c>
      <c r="J28" s="538">
        <f t="shared" si="3"/>
        <v>0</v>
      </c>
      <c r="K28" s="540" t="e">
        <f t="shared" si="1"/>
        <v>#DIV/0!</v>
      </c>
    </row>
    <row r="29" spans="1:13" x14ac:dyDescent="0.2">
      <c r="A29" s="398">
        <f>Urakkatunnit!A27</f>
        <v>0</v>
      </c>
      <c r="B29" s="407"/>
      <c r="C29" s="407"/>
      <c r="D29" s="399">
        <f>SUM(Urakkatunnit!H27)</f>
        <v>0</v>
      </c>
      <c r="E29" s="532"/>
      <c r="F29" s="400">
        <f t="shared" si="0"/>
        <v>0</v>
      </c>
      <c r="G29" s="401">
        <f>SUM(Urakkatunnit!I27)</f>
        <v>0</v>
      </c>
      <c r="H29" s="538">
        <f>SUM(Välipohjat!M23)</f>
        <v>0</v>
      </c>
      <c r="I29" s="403" t="e">
        <f t="shared" si="2"/>
        <v>#DIV/0!</v>
      </c>
      <c r="J29" s="402">
        <f t="shared" si="3"/>
        <v>0</v>
      </c>
      <c r="K29" s="404" t="e">
        <f t="shared" si="1"/>
        <v>#DIV/0!</v>
      </c>
    </row>
    <row r="30" spans="1:13" x14ac:dyDescent="0.2">
      <c r="A30" s="398">
        <f>Urakkatunnit!A28</f>
        <v>0</v>
      </c>
      <c r="B30" s="407"/>
      <c r="C30" s="407"/>
      <c r="D30" s="399">
        <f>SUM(Urakkatunnit!H28)</f>
        <v>0</v>
      </c>
      <c r="E30" s="532"/>
      <c r="F30" s="400">
        <f t="shared" si="0"/>
        <v>0</v>
      </c>
      <c r="G30" s="401">
        <f>SUM(Urakkatunnit!I28)</f>
        <v>0</v>
      </c>
      <c r="H30" s="538">
        <f>SUM(Välipohjat!M24)</f>
        <v>0</v>
      </c>
      <c r="I30" s="403" t="e">
        <f t="shared" si="2"/>
        <v>#DIV/0!</v>
      </c>
      <c r="J30" s="402">
        <f t="shared" si="3"/>
        <v>0</v>
      </c>
      <c r="K30" s="404" t="e">
        <f t="shared" si="1"/>
        <v>#DIV/0!</v>
      </c>
    </row>
    <row r="31" spans="1:13" x14ac:dyDescent="0.2">
      <c r="A31" s="398">
        <f>Urakkatunnit!A29</f>
        <v>0</v>
      </c>
      <c r="B31" s="543"/>
      <c r="C31" s="543"/>
      <c r="D31" s="399">
        <f>SUM(Urakkatunnit!H29)</f>
        <v>0</v>
      </c>
      <c r="E31" s="533"/>
      <c r="F31" s="400">
        <f t="shared" si="0"/>
        <v>0</v>
      </c>
      <c r="G31" s="401">
        <f>SUM(Urakkatunnit!I29)</f>
        <v>0</v>
      </c>
      <c r="H31" s="538">
        <f>SUM(Välipohjat!M25)</f>
        <v>0</v>
      </c>
      <c r="I31" s="403" t="e">
        <f t="shared" si="2"/>
        <v>#DIV/0!</v>
      </c>
      <c r="J31" s="402">
        <f t="shared" si="3"/>
        <v>0</v>
      </c>
      <c r="K31" s="404" t="e">
        <f t="shared" si="1"/>
        <v>#DIV/0!</v>
      </c>
    </row>
    <row r="32" spans="1:13" ht="12.75" customHeight="1" x14ac:dyDescent="0.2">
      <c r="A32" s="880" t="s">
        <v>475</v>
      </c>
      <c r="B32" s="881"/>
      <c r="C32" s="881"/>
      <c r="D32" s="881"/>
      <c r="E32" s="881"/>
      <c r="F32" s="881"/>
      <c r="G32" s="881"/>
      <c r="H32" s="881"/>
      <c r="I32" s="881"/>
      <c r="J32" s="881"/>
      <c r="K32" s="882"/>
    </row>
    <row r="33" spans="1:13" x14ac:dyDescent="0.2">
      <c r="A33" s="619">
        <f>Urakkatunnit!A31</f>
        <v>0</v>
      </c>
      <c r="B33" s="620"/>
      <c r="C33" s="620"/>
      <c r="D33" s="621">
        <f>SUM(Urakkatunnit!B31+Urakkatunnit!D31+Urakkatunnit!F31)</f>
        <v>0</v>
      </c>
      <c r="E33" s="622"/>
      <c r="F33" s="623"/>
      <c r="G33" s="624"/>
      <c r="H33" s="624"/>
      <c r="I33" s="405"/>
      <c r="J33" s="402">
        <f>SUM(Urakkatunnit!I31)</f>
        <v>0</v>
      </c>
      <c r="K33" s="625"/>
    </row>
    <row r="34" spans="1:13" x14ac:dyDescent="0.2">
      <c r="A34" s="619">
        <f>Urakkatunnit!A32</f>
        <v>0</v>
      </c>
      <c r="B34" s="543"/>
      <c r="C34" s="543"/>
      <c r="D34" s="621">
        <f>SUM(Urakkatunnit!B32+Urakkatunnit!D32+Urakkatunnit!F32)</f>
        <v>0</v>
      </c>
      <c r="E34" s="626"/>
      <c r="F34" s="526"/>
      <c r="G34" s="527"/>
      <c r="H34" s="527"/>
      <c r="I34" s="529"/>
      <c r="J34" s="402">
        <f>SUM(Urakkatunnit!I32)</f>
        <v>0</v>
      </c>
      <c r="K34" s="530"/>
    </row>
    <row r="35" spans="1:13" x14ac:dyDescent="0.2">
      <c r="A35" s="619">
        <f>Urakkatunnit!A33</f>
        <v>0</v>
      </c>
      <c r="B35" s="543"/>
      <c r="C35" s="543"/>
      <c r="D35" s="621">
        <f>SUM(Urakkatunnit!B33+Urakkatunnit!D33+Urakkatunnit!F33)</f>
        <v>0</v>
      </c>
      <c r="E35" s="626"/>
      <c r="F35" s="526"/>
      <c r="G35" s="527"/>
      <c r="H35" s="527"/>
      <c r="I35" s="529"/>
      <c r="J35" s="402">
        <f>SUM(Urakkatunnit!I33)</f>
        <v>0</v>
      </c>
      <c r="K35" s="530"/>
    </row>
    <row r="36" spans="1:13" ht="13.5" thickBot="1" x14ac:dyDescent="0.25">
      <c r="A36" s="619">
        <f>Urakkatunnit!A34</f>
        <v>0</v>
      </c>
      <c r="B36" s="407"/>
      <c r="C36" s="407"/>
      <c r="D36" s="621">
        <f>SUM(Urakkatunnit!B34+Urakkatunnit!D34+Urakkatunnit!F34)</f>
        <v>0</v>
      </c>
      <c r="E36" s="627"/>
      <c r="F36" s="402"/>
      <c r="G36" s="401"/>
      <c r="H36" s="401"/>
      <c r="I36" s="628"/>
      <c r="J36" s="402">
        <f>SUM(Urakkatunnit!I34)</f>
        <v>0</v>
      </c>
      <c r="K36" s="629"/>
    </row>
    <row r="37" spans="1:13" ht="13.5" thickBot="1" x14ac:dyDescent="0.25">
      <c r="D37" s="511">
        <f>SUM(D12:D31,D33:D36)</f>
        <v>0</v>
      </c>
      <c r="E37" s="507"/>
      <c r="F37" s="508">
        <f t="shared" ref="F37:K37" si="4">SUM(F12:F31)</f>
        <v>0</v>
      </c>
      <c r="G37" s="509">
        <f t="shared" si="4"/>
        <v>0</v>
      </c>
      <c r="H37" s="508">
        <f t="shared" si="4"/>
        <v>0</v>
      </c>
      <c r="I37" s="507" t="e">
        <f t="shared" si="4"/>
        <v>#DIV/0!</v>
      </c>
      <c r="J37" s="508">
        <f>SUM(J12:J31,J33:J36)</f>
        <v>0</v>
      </c>
      <c r="K37" s="510" t="e">
        <f t="shared" si="4"/>
        <v>#DIV/0!</v>
      </c>
      <c r="L37" s="408" t="e">
        <f>SUM(J37:K37)</f>
        <v>#DIV/0!</v>
      </c>
    </row>
    <row r="39" spans="1:13" x14ac:dyDescent="0.2">
      <c r="A39" s="163"/>
      <c r="B39" s="163"/>
      <c r="C39" s="163"/>
      <c r="D39" s="163"/>
      <c r="E39" s="294"/>
      <c r="F39" s="294"/>
      <c r="G39" s="294"/>
      <c r="H39" s="294"/>
      <c r="I39" s="294"/>
      <c r="J39" s="294"/>
      <c r="L39" s="163"/>
      <c r="M39" s="163"/>
    </row>
    <row r="40" spans="1:13" ht="25.5" customHeight="1" x14ac:dyDescent="0.2">
      <c r="K40" s="872"/>
      <c r="L40" s="872"/>
      <c r="M40" s="872"/>
    </row>
    <row r="41" spans="1:13" x14ac:dyDescent="0.2">
      <c r="A41" s="472"/>
      <c r="B41" s="163"/>
      <c r="C41" s="163"/>
      <c r="D41" s="163"/>
      <c r="E41" s="163"/>
      <c r="F41" s="163"/>
      <c r="G41" s="163"/>
      <c r="H41" s="163"/>
      <c r="I41" s="163"/>
      <c r="J41" s="163"/>
      <c r="K41" s="148" t="s">
        <v>251</v>
      </c>
    </row>
    <row r="42" spans="1:13" x14ac:dyDescent="0.2">
      <c r="A42" s="472" t="s">
        <v>466</v>
      </c>
      <c r="B42" s="163"/>
      <c r="C42" s="163"/>
      <c r="D42" s="163"/>
      <c r="E42" s="163"/>
      <c r="F42" s="163"/>
      <c r="G42" s="163"/>
      <c r="H42" s="163"/>
      <c r="I42" s="163"/>
      <c r="J42" s="163"/>
    </row>
    <row r="43" spans="1:13" x14ac:dyDescent="0.2">
      <c r="A43" s="163" t="s">
        <v>418</v>
      </c>
      <c r="B43" s="163"/>
      <c r="C43" s="163"/>
      <c r="D43" s="163"/>
      <c r="E43" s="163"/>
      <c r="F43" s="163"/>
      <c r="G43" s="163"/>
      <c r="H43" s="163"/>
      <c r="I43" s="163"/>
      <c r="J43" s="163"/>
    </row>
    <row r="44" spans="1:13" x14ac:dyDescent="0.2">
      <c r="A44" s="148" t="s">
        <v>370</v>
      </c>
    </row>
    <row r="45" spans="1:13" x14ac:dyDescent="0.2">
      <c r="A45" s="148" t="s">
        <v>371</v>
      </c>
    </row>
    <row r="46" spans="1:13" x14ac:dyDescent="0.2">
      <c r="A46" s="148" t="s">
        <v>372</v>
      </c>
    </row>
    <row r="47" spans="1:13" x14ac:dyDescent="0.2">
      <c r="A47" s="148" t="s">
        <v>373</v>
      </c>
    </row>
  </sheetData>
  <sheetProtection algorithmName="SHA-512" hashValue="22atUKoOBpob29Gr3ogbHhwDcxiN1dTBCb8NPiNcCea3Xj7iJq9g6mwDurZn3K/jFeifPIvcrdyrpxoLfa8AkQ==" saltValue="TBuA8W9z0uWBtgZTrwXDjw==" spinCount="100000" sheet="1"/>
  <mergeCells count="9">
    <mergeCell ref="A2:M2"/>
    <mergeCell ref="D4:G4"/>
    <mergeCell ref="E10:E11"/>
    <mergeCell ref="D6:G6"/>
    <mergeCell ref="K40:M40"/>
    <mergeCell ref="D7:G7"/>
    <mergeCell ref="D8:G8"/>
    <mergeCell ref="A27:K27"/>
    <mergeCell ref="A32:K32"/>
  </mergeCells>
  <hyperlinks>
    <hyperlink ref="A1" location="Etusivu!A1" tooltip="Tästä pääset etusivulle" display="Etusivu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244"/>
  <sheetViews>
    <sheetView workbookViewId="0">
      <selection activeCell="N4" sqref="N4"/>
    </sheetView>
  </sheetViews>
  <sheetFormatPr defaultRowHeight="12.75" x14ac:dyDescent="0.2"/>
  <cols>
    <col min="1" max="1" width="7.42578125" customWidth="1"/>
    <col min="2" max="14" width="7.28515625" customWidth="1"/>
    <col min="15" max="15" width="7.85546875" customWidth="1"/>
    <col min="16" max="16" width="8.85546875" bestFit="1" customWidth="1"/>
    <col min="17" max="17" width="7.28515625" customWidth="1"/>
    <col min="18" max="18" width="10.28515625" bestFit="1" customWidth="1"/>
    <col min="19" max="19" width="7.28515625" customWidth="1"/>
  </cols>
  <sheetData>
    <row r="1" spans="1:44" ht="21" customHeight="1" x14ac:dyDescent="0.2">
      <c r="A1" s="120"/>
      <c r="B1" s="120"/>
      <c r="C1" s="120"/>
      <c r="D1" s="120"/>
      <c r="E1" s="120"/>
      <c r="F1" s="120"/>
      <c r="G1" s="120"/>
      <c r="H1" s="338"/>
      <c r="I1" s="120"/>
      <c r="J1" s="338"/>
      <c r="K1" s="120"/>
      <c r="L1" s="120"/>
      <c r="M1" s="120"/>
      <c r="N1" s="338"/>
      <c r="O1" s="120"/>
      <c r="P1" s="338"/>
      <c r="Q1" s="120"/>
      <c r="R1" s="120"/>
      <c r="S1" s="151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</row>
    <row r="2" spans="1:44" ht="33.75" thickBot="1" x14ac:dyDescent="0.5">
      <c r="A2" s="160" t="s">
        <v>240</v>
      </c>
      <c r="B2" s="159"/>
      <c r="C2" s="160" t="s">
        <v>73</v>
      </c>
      <c r="D2" s="159"/>
      <c r="E2" s="161"/>
      <c r="F2" s="161"/>
      <c r="G2" s="162"/>
      <c r="H2" s="146"/>
      <c r="I2" s="146"/>
      <c r="J2" s="146"/>
      <c r="K2" s="120"/>
      <c r="L2" s="120"/>
      <c r="M2" s="120"/>
      <c r="N2" s="151"/>
      <c r="O2" s="120"/>
      <c r="P2" s="151"/>
      <c r="Q2" s="157"/>
      <c r="R2" s="15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</row>
    <row r="3" spans="1:44" x14ac:dyDescent="0.2">
      <c r="A3" s="148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</row>
    <row r="4" spans="1:44" x14ac:dyDescent="0.2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366" t="s">
        <v>234</v>
      </c>
      <c r="O4" s="148"/>
      <c r="P4" s="366" t="s">
        <v>299</v>
      </c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</row>
    <row r="5" spans="1:44" x14ac:dyDescent="0.2">
      <c r="A5" s="148"/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</row>
    <row r="6" spans="1:44" ht="15.75" thickBot="1" x14ac:dyDescent="0.25">
      <c r="A6" s="154" t="s">
        <v>257</v>
      </c>
      <c r="B6" s="123"/>
      <c r="C6" s="123"/>
      <c r="D6" s="123"/>
      <c r="E6" s="123"/>
      <c r="F6" s="155"/>
      <c r="G6" s="123"/>
      <c r="H6" s="123"/>
      <c r="I6" s="148"/>
      <c r="J6" s="836"/>
      <c r="K6" s="836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</row>
    <row r="7" spans="1:44" x14ac:dyDescent="0.2">
      <c r="A7" s="148"/>
      <c r="B7" s="148" t="s">
        <v>252</v>
      </c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</row>
    <row r="8" spans="1:44" x14ac:dyDescent="0.2">
      <c r="A8" s="110" t="s">
        <v>256</v>
      </c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0" t="s">
        <v>253</v>
      </c>
      <c r="P8" s="112" t="s">
        <v>254</v>
      </c>
      <c r="Q8" s="110" t="s">
        <v>255</v>
      </c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</row>
    <row r="9" spans="1:44" x14ac:dyDescent="0.2">
      <c r="A9" s="110">
        <v>-125</v>
      </c>
      <c r="B9" s="347"/>
      <c r="C9" s="347"/>
      <c r="D9" s="347"/>
      <c r="E9" s="347"/>
      <c r="F9" s="347"/>
      <c r="G9" s="347"/>
      <c r="H9" s="347"/>
      <c r="I9" s="347"/>
      <c r="J9" s="347"/>
      <c r="K9" s="348"/>
      <c r="L9" s="348"/>
      <c r="M9" s="348"/>
      <c r="N9" s="348"/>
      <c r="O9" s="113">
        <f>SUM(B9:N9)</f>
        <v>0</v>
      </c>
      <c r="P9" s="349"/>
      <c r="Q9" s="113">
        <f>O9-P9</f>
        <v>0</v>
      </c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</row>
    <row r="10" spans="1:44" x14ac:dyDescent="0.2">
      <c r="A10" s="110">
        <v>-200</v>
      </c>
      <c r="B10" s="348"/>
      <c r="C10" s="348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113">
        <f t="shared" ref="O10:O18" si="0">SUM(B10:N10)</f>
        <v>0</v>
      </c>
      <c r="P10" s="349"/>
      <c r="Q10" s="113">
        <f t="shared" ref="Q10:Q18" si="1">O10-P10</f>
        <v>0</v>
      </c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</row>
    <row r="11" spans="1:44" x14ac:dyDescent="0.2">
      <c r="A11" s="110">
        <v>250</v>
      </c>
      <c r="B11" s="348"/>
      <c r="C11" s="348"/>
      <c r="D11" s="348"/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113">
        <f t="shared" si="0"/>
        <v>0</v>
      </c>
      <c r="P11" s="349"/>
      <c r="Q11" s="113">
        <f t="shared" si="1"/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</row>
    <row r="12" spans="1:44" x14ac:dyDescent="0.2">
      <c r="A12" s="110">
        <v>315</v>
      </c>
      <c r="B12" s="348"/>
      <c r="C12" s="348"/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113">
        <f t="shared" si="0"/>
        <v>0</v>
      </c>
      <c r="P12" s="349"/>
      <c r="Q12" s="113">
        <f t="shared" si="1"/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</row>
    <row r="13" spans="1:44" x14ac:dyDescent="0.2">
      <c r="A13" s="110">
        <v>400</v>
      </c>
      <c r="B13" s="348"/>
      <c r="C13" s="348"/>
      <c r="D13" s="348"/>
      <c r="E13" s="348"/>
      <c r="F13" s="348"/>
      <c r="G13" s="348"/>
      <c r="H13" s="348"/>
      <c r="I13" s="348"/>
      <c r="J13" s="348"/>
      <c r="K13" s="348"/>
      <c r="L13" s="348"/>
      <c r="M13" s="348"/>
      <c r="N13" s="348"/>
      <c r="O13" s="113">
        <f t="shared" si="0"/>
        <v>0</v>
      </c>
      <c r="P13" s="349"/>
      <c r="Q13" s="113">
        <f t="shared" si="1"/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</row>
    <row r="14" spans="1:44" x14ac:dyDescent="0.2">
      <c r="A14" s="110">
        <v>500</v>
      </c>
      <c r="B14" s="348"/>
      <c r="C14" s="348"/>
      <c r="D14" s="348"/>
      <c r="E14" s="348"/>
      <c r="F14" s="348"/>
      <c r="G14" s="348"/>
      <c r="H14" s="348"/>
      <c r="I14" s="348"/>
      <c r="J14" s="348"/>
      <c r="K14" s="348"/>
      <c r="L14" s="348"/>
      <c r="M14" s="348"/>
      <c r="N14" s="348"/>
      <c r="O14" s="113">
        <f t="shared" si="0"/>
        <v>0</v>
      </c>
      <c r="P14" s="349"/>
      <c r="Q14" s="113">
        <f t="shared" si="1"/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</row>
    <row r="15" spans="1:44" x14ac:dyDescent="0.2">
      <c r="A15" s="110">
        <v>630</v>
      </c>
      <c r="B15" s="348"/>
      <c r="C15" s="348"/>
      <c r="D15" s="348"/>
      <c r="E15" s="348"/>
      <c r="F15" s="348"/>
      <c r="G15" s="348"/>
      <c r="H15" s="348"/>
      <c r="I15" s="348"/>
      <c r="J15" s="348"/>
      <c r="K15" s="348"/>
      <c r="L15" s="348"/>
      <c r="M15" s="348"/>
      <c r="N15" s="348"/>
      <c r="O15" s="113">
        <f t="shared" si="0"/>
        <v>0</v>
      </c>
      <c r="P15" s="349"/>
      <c r="Q15" s="113">
        <f t="shared" si="1"/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</row>
    <row r="16" spans="1:44" x14ac:dyDescent="0.2">
      <c r="A16" s="110">
        <v>800</v>
      </c>
      <c r="B16" s="348"/>
      <c r="C16" s="348"/>
      <c r="D16" s="348"/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113">
        <f t="shared" si="0"/>
        <v>0</v>
      </c>
      <c r="P16" s="349"/>
      <c r="Q16" s="113">
        <f t="shared" si="1"/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</row>
    <row r="17" spans="1:44" x14ac:dyDescent="0.2">
      <c r="A17" s="110">
        <v>1000</v>
      </c>
      <c r="B17" s="348"/>
      <c r="C17" s="348"/>
      <c r="D17" s="348"/>
      <c r="E17" s="348"/>
      <c r="F17" s="348"/>
      <c r="G17" s="348"/>
      <c r="H17" s="348"/>
      <c r="I17" s="348"/>
      <c r="J17" s="348"/>
      <c r="K17" s="348"/>
      <c r="L17" s="348"/>
      <c r="M17" s="348"/>
      <c r="N17" s="348"/>
      <c r="O17" s="113">
        <f t="shared" si="0"/>
        <v>0</v>
      </c>
      <c r="P17" s="349"/>
      <c r="Q17" s="113">
        <f t="shared" si="1"/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</row>
    <row r="18" spans="1:44" ht="14.25" customHeight="1" x14ac:dyDescent="0.2">
      <c r="A18" s="110">
        <v>1250</v>
      </c>
      <c r="B18" s="348"/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113">
        <f t="shared" si="0"/>
        <v>0</v>
      </c>
      <c r="P18" s="349"/>
      <c r="Q18" s="113">
        <f t="shared" si="1"/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</row>
    <row r="19" spans="1:44" x14ac:dyDescent="0.2">
      <c r="A19" s="148"/>
      <c r="B19" s="148"/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</row>
    <row r="20" spans="1:44" ht="11.25" customHeight="1" x14ac:dyDescent="0.2">
      <c r="A20" s="148"/>
      <c r="B20" s="148"/>
      <c r="C20" s="148"/>
      <c r="D20" s="148"/>
      <c r="E20" s="148"/>
      <c r="F20" s="148"/>
      <c r="G20" s="148"/>
      <c r="H20" s="339"/>
      <c r="I20" s="148"/>
      <c r="J20" s="33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</row>
    <row r="21" spans="1:44" ht="15" customHeight="1" x14ac:dyDescent="0.2">
      <c r="A21" s="148"/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</row>
    <row r="22" spans="1:44" ht="15.75" customHeight="1" x14ac:dyDescent="0.2">
      <c r="A22" s="148"/>
      <c r="B22" s="148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</row>
    <row r="23" spans="1:44" ht="15.75" customHeight="1" thickBot="1" x14ac:dyDescent="0.25">
      <c r="A23" s="154" t="s">
        <v>258</v>
      </c>
      <c r="B23" s="123"/>
      <c r="C23" s="123"/>
      <c r="D23" s="123"/>
      <c r="E23" s="123"/>
      <c r="F23" s="155"/>
      <c r="G23" s="123"/>
      <c r="H23" s="123"/>
      <c r="I23" s="123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</row>
    <row r="24" spans="1:44" ht="15.75" customHeight="1" x14ac:dyDescent="0.2">
      <c r="A24" s="148"/>
      <c r="B24" s="148" t="s">
        <v>252</v>
      </c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</row>
    <row r="25" spans="1:44" ht="15.75" customHeight="1" x14ac:dyDescent="0.2">
      <c r="A25" s="110" t="s">
        <v>256</v>
      </c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0" t="s">
        <v>253</v>
      </c>
      <c r="P25" s="112" t="s">
        <v>254</v>
      </c>
      <c r="Q25" s="110" t="s">
        <v>255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</row>
    <row r="26" spans="1:44" ht="15.75" customHeight="1" x14ac:dyDescent="0.2">
      <c r="A26" s="110">
        <v>-125</v>
      </c>
      <c r="B26" s="347"/>
      <c r="C26" s="347" t="s">
        <v>67</v>
      </c>
      <c r="D26" s="348"/>
      <c r="E26" s="348"/>
      <c r="F26" s="348"/>
      <c r="G26" s="348"/>
      <c r="H26" s="348"/>
      <c r="I26" s="348"/>
      <c r="J26" s="348"/>
      <c r="K26" s="348"/>
      <c r="L26" s="348"/>
      <c r="M26" s="348"/>
      <c r="N26" s="348"/>
      <c r="O26" s="113">
        <f>SUM(B26:N26)</f>
        <v>0</v>
      </c>
      <c r="P26" s="349"/>
      <c r="Q26" s="113">
        <f>O26-P26</f>
        <v>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</row>
    <row r="27" spans="1:44" ht="15.75" customHeight="1" x14ac:dyDescent="0.2">
      <c r="A27" s="110">
        <v>-200</v>
      </c>
      <c r="B27" s="348"/>
      <c r="C27" s="348"/>
      <c r="D27" s="348"/>
      <c r="E27" s="348"/>
      <c r="F27" s="348"/>
      <c r="G27" s="348"/>
      <c r="H27" s="348"/>
      <c r="I27" s="348"/>
      <c r="J27" s="348"/>
      <c r="K27" s="348"/>
      <c r="L27" s="348"/>
      <c r="M27" s="348"/>
      <c r="N27" s="348"/>
      <c r="O27" s="113">
        <f t="shared" ref="O27:O35" si="2">SUM(B27:N27)</f>
        <v>0</v>
      </c>
      <c r="P27" s="349"/>
      <c r="Q27" s="113">
        <f t="shared" ref="Q27:Q35" si="3">O27-P27</f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</row>
    <row r="28" spans="1:44" ht="15.75" customHeight="1" x14ac:dyDescent="0.2">
      <c r="A28" s="110">
        <v>250</v>
      </c>
      <c r="B28" s="348"/>
      <c r="C28" s="348"/>
      <c r="D28" s="348"/>
      <c r="E28" s="348"/>
      <c r="F28" s="348"/>
      <c r="G28" s="348"/>
      <c r="H28" s="348"/>
      <c r="I28" s="348"/>
      <c r="J28" s="348"/>
      <c r="K28" s="348"/>
      <c r="L28" s="348"/>
      <c r="M28" s="348"/>
      <c r="N28" s="348"/>
      <c r="O28" s="113">
        <f t="shared" si="2"/>
        <v>0</v>
      </c>
      <c r="P28" s="349"/>
      <c r="Q28" s="113">
        <f t="shared" si="3"/>
        <v>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</row>
    <row r="29" spans="1:44" ht="15.75" customHeight="1" x14ac:dyDescent="0.2">
      <c r="A29" s="110">
        <v>315</v>
      </c>
      <c r="B29" s="348"/>
      <c r="C29" s="348"/>
      <c r="D29" s="348"/>
      <c r="E29" s="348"/>
      <c r="F29" s="348"/>
      <c r="G29" s="348"/>
      <c r="H29" s="348"/>
      <c r="I29" s="348"/>
      <c r="J29" s="348"/>
      <c r="K29" s="348"/>
      <c r="L29" s="348"/>
      <c r="M29" s="348"/>
      <c r="N29" s="348"/>
      <c r="O29" s="113">
        <f t="shared" si="2"/>
        <v>0</v>
      </c>
      <c r="P29" s="349"/>
      <c r="Q29" s="113">
        <f t="shared" si="3"/>
        <v>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</row>
    <row r="30" spans="1:44" ht="15.75" customHeight="1" x14ac:dyDescent="0.2">
      <c r="A30" s="110">
        <v>400</v>
      </c>
      <c r="B30" s="348"/>
      <c r="C30" s="348"/>
      <c r="D30" s="348"/>
      <c r="E30" s="348"/>
      <c r="F30" s="348"/>
      <c r="G30" s="348"/>
      <c r="H30" s="348"/>
      <c r="I30" s="348"/>
      <c r="J30" s="348"/>
      <c r="K30" s="348"/>
      <c r="L30" s="348"/>
      <c r="M30" s="348"/>
      <c r="N30" s="348"/>
      <c r="O30" s="113">
        <f t="shared" si="2"/>
        <v>0</v>
      </c>
      <c r="P30" s="349"/>
      <c r="Q30" s="113">
        <f t="shared" si="3"/>
        <v>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</row>
    <row r="31" spans="1:44" ht="15.75" customHeight="1" x14ac:dyDescent="0.2">
      <c r="A31" s="110">
        <v>500</v>
      </c>
      <c r="B31" s="348"/>
      <c r="C31" s="348"/>
      <c r="D31" s="348"/>
      <c r="E31" s="348"/>
      <c r="F31" s="348"/>
      <c r="G31" s="348"/>
      <c r="H31" s="348"/>
      <c r="I31" s="348"/>
      <c r="J31" s="348"/>
      <c r="K31" s="348"/>
      <c r="L31" s="348"/>
      <c r="M31" s="348"/>
      <c r="N31" s="348"/>
      <c r="O31" s="113">
        <f t="shared" si="2"/>
        <v>0</v>
      </c>
      <c r="P31" s="349"/>
      <c r="Q31" s="113">
        <f t="shared" si="3"/>
        <v>0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</row>
    <row r="32" spans="1:44" x14ac:dyDescent="0.2">
      <c r="A32" s="110">
        <v>630</v>
      </c>
      <c r="B32" s="348"/>
      <c r="C32" s="348"/>
      <c r="D32" s="348"/>
      <c r="E32" s="348"/>
      <c r="F32" s="348"/>
      <c r="G32" s="348"/>
      <c r="H32" s="348"/>
      <c r="I32" s="348"/>
      <c r="J32" s="348"/>
      <c r="K32" s="348"/>
      <c r="L32" s="348"/>
      <c r="M32" s="348"/>
      <c r="N32" s="348"/>
      <c r="O32" s="113">
        <f t="shared" si="2"/>
        <v>0</v>
      </c>
      <c r="P32" s="349"/>
      <c r="Q32" s="113">
        <f t="shared" si="3"/>
        <v>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</row>
    <row r="33" spans="1:44" x14ac:dyDescent="0.2">
      <c r="A33" s="110">
        <v>800</v>
      </c>
      <c r="B33" s="348"/>
      <c r="C33" s="348"/>
      <c r="D33" s="348"/>
      <c r="E33" s="348"/>
      <c r="F33" s="348"/>
      <c r="G33" s="348"/>
      <c r="H33" s="348"/>
      <c r="I33" s="348"/>
      <c r="J33" s="348"/>
      <c r="K33" s="348"/>
      <c r="L33" s="348"/>
      <c r="M33" s="348"/>
      <c r="N33" s="348"/>
      <c r="O33" s="113">
        <f t="shared" si="2"/>
        <v>0</v>
      </c>
      <c r="P33" s="349"/>
      <c r="Q33" s="113">
        <f t="shared" si="3"/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</row>
    <row r="34" spans="1:44" x14ac:dyDescent="0.2">
      <c r="A34" s="110">
        <v>1000</v>
      </c>
      <c r="B34" s="348"/>
      <c r="C34" s="348"/>
      <c r="D34" s="348"/>
      <c r="E34" s="348"/>
      <c r="F34" s="348"/>
      <c r="G34" s="348"/>
      <c r="H34" s="350"/>
      <c r="I34" s="350"/>
      <c r="J34" s="348"/>
      <c r="K34" s="348"/>
      <c r="L34" s="348"/>
      <c r="M34" s="348"/>
      <c r="N34" s="348"/>
      <c r="O34" s="113">
        <f t="shared" si="2"/>
        <v>0</v>
      </c>
      <c r="P34" s="349"/>
      <c r="Q34" s="113">
        <f t="shared" si="3"/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</row>
    <row r="35" spans="1:44" x14ac:dyDescent="0.2">
      <c r="A35" s="110">
        <v>1250</v>
      </c>
      <c r="B35" s="348"/>
      <c r="C35" s="348"/>
      <c r="D35" s="348"/>
      <c r="E35" s="348"/>
      <c r="F35" s="348"/>
      <c r="G35" s="348"/>
      <c r="H35" s="348"/>
      <c r="I35" s="348"/>
      <c r="J35" s="348"/>
      <c r="K35" s="348"/>
      <c r="L35" s="348"/>
      <c r="M35" s="348"/>
      <c r="N35" s="348"/>
      <c r="O35" s="113">
        <f t="shared" si="2"/>
        <v>0</v>
      </c>
      <c r="P35" s="349"/>
      <c r="Q35" s="113">
        <f t="shared" si="3"/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</row>
    <row r="36" spans="1:44" x14ac:dyDescent="0.2">
      <c r="A36" s="148"/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</row>
    <row r="37" spans="1:44" x14ac:dyDescent="0.2">
      <c r="A37" s="148"/>
      <c r="B37" s="148"/>
      <c r="C37" s="148"/>
      <c r="D37" s="148"/>
      <c r="E37" s="148"/>
      <c r="F37" s="148"/>
      <c r="G37" s="148"/>
      <c r="H37" s="339"/>
      <c r="I37" s="148"/>
      <c r="J37" s="120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</row>
    <row r="38" spans="1:44" x14ac:dyDescent="0.2">
      <c r="A38" s="148"/>
      <c r="B38" s="148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366" t="s">
        <v>234</v>
      </c>
      <c r="O38" s="148"/>
      <c r="P38" s="366" t="s">
        <v>299</v>
      </c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</row>
    <row r="39" spans="1:44" x14ac:dyDescent="0.2">
      <c r="A39" s="148"/>
      <c r="B39" s="148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</row>
    <row r="40" spans="1:44" ht="13.5" thickBot="1" x14ac:dyDescent="0.25">
      <c r="A40" s="156" t="s">
        <v>423</v>
      </c>
      <c r="B40" s="123"/>
      <c r="C40" s="123"/>
      <c r="D40" s="123"/>
      <c r="E40" s="123"/>
      <c r="F40" s="123"/>
      <c r="G40" s="123"/>
      <c r="H40" s="123"/>
      <c r="I40" s="123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</row>
    <row r="41" spans="1:44" x14ac:dyDescent="0.2">
      <c r="A41" s="148"/>
      <c r="B41" s="148" t="s">
        <v>252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</row>
    <row r="42" spans="1:44" x14ac:dyDescent="0.2">
      <c r="A42" s="110" t="s">
        <v>256</v>
      </c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0" t="s">
        <v>253</v>
      </c>
      <c r="P42" s="112" t="s">
        <v>254</v>
      </c>
      <c r="Q42" s="110" t="s">
        <v>255</v>
      </c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</row>
    <row r="43" spans="1:44" x14ac:dyDescent="0.2">
      <c r="A43" s="110">
        <v>-125</v>
      </c>
      <c r="B43" s="347"/>
      <c r="C43" s="347" t="s">
        <v>67</v>
      </c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113">
        <f>SUM(B43:N43)</f>
        <v>0</v>
      </c>
      <c r="P43" s="349"/>
      <c r="Q43" s="113">
        <f>O43-P43</f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</row>
    <row r="44" spans="1:44" x14ac:dyDescent="0.2">
      <c r="A44" s="110">
        <v>-200</v>
      </c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113">
        <f t="shared" ref="O44:O52" si="4">SUM(B44:N44)</f>
        <v>0</v>
      </c>
      <c r="P44" s="349"/>
      <c r="Q44" s="113">
        <f t="shared" ref="Q44:Q52" si="5">O44-P44</f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</row>
    <row r="45" spans="1:44" x14ac:dyDescent="0.2">
      <c r="A45" s="110">
        <v>250</v>
      </c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113">
        <f t="shared" si="4"/>
        <v>0</v>
      </c>
      <c r="P45" s="349"/>
      <c r="Q45" s="113">
        <f t="shared" si="5"/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</row>
    <row r="46" spans="1:44" x14ac:dyDescent="0.2">
      <c r="A46" s="110">
        <v>315</v>
      </c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113">
        <f t="shared" si="4"/>
        <v>0</v>
      </c>
      <c r="P46" s="349"/>
      <c r="Q46" s="113">
        <f t="shared" si="5"/>
        <v>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</row>
    <row r="47" spans="1:44" x14ac:dyDescent="0.2">
      <c r="A47" s="110">
        <v>400</v>
      </c>
      <c r="B47" s="348"/>
      <c r="C47" s="348"/>
      <c r="D47" s="348"/>
      <c r="E47" s="348"/>
      <c r="F47" s="348"/>
      <c r="G47" s="348"/>
      <c r="H47" s="348"/>
      <c r="I47" s="348"/>
      <c r="J47" s="348"/>
      <c r="K47" s="348"/>
      <c r="L47" s="348"/>
      <c r="M47" s="348"/>
      <c r="N47" s="348"/>
      <c r="O47" s="113">
        <f t="shared" si="4"/>
        <v>0</v>
      </c>
      <c r="P47" s="349"/>
      <c r="Q47" s="113">
        <f t="shared" si="5"/>
        <v>0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</row>
    <row r="48" spans="1:44" x14ac:dyDescent="0.2">
      <c r="A48" s="110">
        <v>500</v>
      </c>
      <c r="B48" s="348"/>
      <c r="C48" s="348"/>
      <c r="D48" s="348"/>
      <c r="E48" s="348"/>
      <c r="F48" s="348"/>
      <c r="G48" s="348"/>
      <c r="H48" s="348"/>
      <c r="I48" s="348"/>
      <c r="J48" s="348"/>
      <c r="K48" s="348"/>
      <c r="L48" s="348"/>
      <c r="M48" s="348"/>
      <c r="N48" s="348"/>
      <c r="O48" s="113">
        <f t="shared" si="4"/>
        <v>0</v>
      </c>
      <c r="P48" s="349"/>
      <c r="Q48" s="113">
        <f t="shared" si="5"/>
        <v>0</v>
      </c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</row>
    <row r="49" spans="1:44" x14ac:dyDescent="0.2">
      <c r="A49" s="110">
        <v>630</v>
      </c>
      <c r="B49" s="348"/>
      <c r="C49" s="348"/>
      <c r="D49" s="348"/>
      <c r="E49" s="348"/>
      <c r="F49" s="348"/>
      <c r="G49" s="348"/>
      <c r="H49" s="348"/>
      <c r="I49" s="348"/>
      <c r="J49" s="348"/>
      <c r="K49" s="348"/>
      <c r="L49" s="348"/>
      <c r="M49" s="348"/>
      <c r="N49" s="348"/>
      <c r="O49" s="113">
        <f t="shared" si="4"/>
        <v>0</v>
      </c>
      <c r="P49" s="349"/>
      <c r="Q49" s="113">
        <f t="shared" si="5"/>
        <v>0</v>
      </c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</row>
    <row r="50" spans="1:44" x14ac:dyDescent="0.2">
      <c r="A50" s="110">
        <v>800</v>
      </c>
      <c r="B50" s="348"/>
      <c r="C50" s="348"/>
      <c r="D50" s="348"/>
      <c r="E50" s="348"/>
      <c r="F50" s="348"/>
      <c r="G50" s="348"/>
      <c r="H50" s="348"/>
      <c r="I50" s="348"/>
      <c r="J50" s="348"/>
      <c r="K50" s="348"/>
      <c r="L50" s="348"/>
      <c r="M50" s="348"/>
      <c r="N50" s="348"/>
      <c r="O50" s="113">
        <f t="shared" si="4"/>
        <v>0</v>
      </c>
      <c r="P50" s="349"/>
      <c r="Q50" s="113">
        <f t="shared" si="5"/>
        <v>0</v>
      </c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</row>
    <row r="51" spans="1:44" x14ac:dyDescent="0.2">
      <c r="A51" s="110">
        <v>1000</v>
      </c>
      <c r="B51" s="348"/>
      <c r="C51" s="348"/>
      <c r="D51" s="348"/>
      <c r="E51" s="348"/>
      <c r="F51" s="348"/>
      <c r="G51" s="348"/>
      <c r="H51" s="348"/>
      <c r="I51" s="348"/>
      <c r="J51" s="348"/>
      <c r="K51" s="348"/>
      <c r="L51" s="348"/>
      <c r="M51" s="348"/>
      <c r="N51" s="348"/>
      <c r="O51" s="113">
        <f t="shared" si="4"/>
        <v>0</v>
      </c>
      <c r="P51" s="349"/>
      <c r="Q51" s="113">
        <f t="shared" si="5"/>
        <v>0</v>
      </c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</row>
    <row r="52" spans="1:44" x14ac:dyDescent="0.2">
      <c r="A52" s="110">
        <v>1250</v>
      </c>
      <c r="B52" s="348"/>
      <c r="C52" s="348"/>
      <c r="D52" s="348"/>
      <c r="E52" s="348"/>
      <c r="F52" s="348"/>
      <c r="G52" s="348"/>
      <c r="H52" s="348"/>
      <c r="I52" s="348"/>
      <c r="J52" s="348"/>
      <c r="K52" s="348"/>
      <c r="L52" s="348"/>
      <c r="M52" s="348"/>
      <c r="N52" s="348"/>
      <c r="O52" s="113">
        <f t="shared" si="4"/>
        <v>0</v>
      </c>
      <c r="P52" s="349"/>
      <c r="Q52" s="113">
        <f t="shared" si="5"/>
        <v>0</v>
      </c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</row>
    <row r="53" spans="1:44" ht="12.75" customHeight="1" x14ac:dyDescent="0.2">
      <c r="A53" s="148"/>
      <c r="B53" s="148"/>
      <c r="C53" s="148"/>
      <c r="D53" s="148"/>
      <c r="E53" s="148"/>
      <c r="F53" s="703"/>
      <c r="G53" s="703"/>
      <c r="H53" s="703"/>
      <c r="I53" s="703"/>
      <c r="J53" s="703"/>
      <c r="K53" s="703"/>
      <c r="L53" s="703"/>
      <c r="M53" s="703"/>
      <c r="N53" s="703"/>
      <c r="O53" s="703"/>
      <c r="P53" s="703"/>
      <c r="Q53" s="703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</row>
    <row r="54" spans="1:44" ht="13.5" customHeight="1" thickBot="1" x14ac:dyDescent="0.25">
      <c r="A54" s="156" t="s">
        <v>506</v>
      </c>
      <c r="B54" s="123"/>
      <c r="C54" s="123"/>
      <c r="D54" s="123"/>
      <c r="E54" s="123"/>
      <c r="F54" s="706"/>
      <c r="G54" s="704"/>
      <c r="H54" s="704"/>
      <c r="I54" s="704"/>
      <c r="J54" s="704"/>
      <c r="K54" s="704"/>
      <c r="L54" s="704"/>
      <c r="M54" s="704"/>
      <c r="N54" s="704"/>
      <c r="O54" s="704"/>
      <c r="P54" s="704"/>
      <c r="Q54" s="704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</row>
    <row r="55" spans="1:44" x14ac:dyDescent="0.2">
      <c r="A55" s="148"/>
      <c r="B55" s="148" t="s">
        <v>252</v>
      </c>
      <c r="C55" s="148"/>
      <c r="D55" s="148"/>
      <c r="E55" s="163"/>
      <c r="G55" s="705" t="s">
        <v>507</v>
      </c>
      <c r="H55" s="705"/>
      <c r="I55" s="705"/>
      <c r="J55" s="705"/>
      <c r="K55" s="705"/>
      <c r="L55" s="705"/>
      <c r="M55" s="705"/>
      <c r="N55" s="705"/>
      <c r="O55" s="705"/>
      <c r="P55" s="705"/>
      <c r="Q55" s="705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</row>
    <row r="56" spans="1:44" x14ac:dyDescent="0.2">
      <c r="A56" s="110" t="s">
        <v>256</v>
      </c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0" t="s">
        <v>253</v>
      </c>
      <c r="P56" s="112" t="s">
        <v>254</v>
      </c>
      <c r="Q56" s="110" t="s">
        <v>255</v>
      </c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</row>
    <row r="57" spans="1:44" x14ac:dyDescent="0.2">
      <c r="A57" s="110">
        <v>-125</v>
      </c>
      <c r="B57" s="347"/>
      <c r="C57" s="347" t="s">
        <v>67</v>
      </c>
      <c r="D57" s="348"/>
      <c r="E57" s="348"/>
      <c r="F57" s="348"/>
      <c r="G57" s="348"/>
      <c r="H57" s="348"/>
      <c r="I57" s="348"/>
      <c r="J57" s="348"/>
      <c r="K57" s="348"/>
      <c r="L57" s="348"/>
      <c r="M57" s="348"/>
      <c r="N57" s="348"/>
      <c r="O57" s="113">
        <f>SUM(B57:N57)</f>
        <v>0</v>
      </c>
      <c r="P57" s="349"/>
      <c r="Q57" s="113">
        <f>O57-P57</f>
        <v>0</v>
      </c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</row>
    <row r="58" spans="1:44" x14ac:dyDescent="0.2">
      <c r="A58" s="110">
        <v>-200</v>
      </c>
      <c r="B58" s="348"/>
      <c r="C58" s="348"/>
      <c r="D58" s="348"/>
      <c r="E58" s="348"/>
      <c r="F58" s="348"/>
      <c r="G58" s="348"/>
      <c r="H58" s="348"/>
      <c r="I58" s="348"/>
      <c r="J58" s="348"/>
      <c r="K58" s="348"/>
      <c r="L58" s="348"/>
      <c r="M58" s="348"/>
      <c r="N58" s="348"/>
      <c r="O58" s="113">
        <f t="shared" ref="O58:O66" si="6">SUM(B58:N58)</f>
        <v>0</v>
      </c>
      <c r="P58" s="349"/>
      <c r="Q58" s="113">
        <f t="shared" ref="Q58:Q66" si="7">O58-P58</f>
        <v>0</v>
      </c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</row>
    <row r="59" spans="1:44" x14ac:dyDescent="0.2">
      <c r="A59" s="110">
        <v>250</v>
      </c>
      <c r="B59" s="348"/>
      <c r="C59" s="348"/>
      <c r="D59" s="348"/>
      <c r="E59" s="348"/>
      <c r="F59" s="348"/>
      <c r="G59" s="348"/>
      <c r="H59" s="348"/>
      <c r="I59" s="348"/>
      <c r="J59" s="348"/>
      <c r="K59" s="348"/>
      <c r="L59" s="348"/>
      <c r="M59" s="348"/>
      <c r="N59" s="348"/>
      <c r="O59" s="113">
        <f t="shared" si="6"/>
        <v>0</v>
      </c>
      <c r="P59" s="349"/>
      <c r="Q59" s="113">
        <f t="shared" si="7"/>
        <v>0</v>
      </c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</row>
    <row r="60" spans="1:44" x14ac:dyDescent="0.2">
      <c r="A60" s="110">
        <v>315</v>
      </c>
      <c r="B60" s="348"/>
      <c r="C60" s="348"/>
      <c r="D60" s="348"/>
      <c r="E60" s="348"/>
      <c r="F60" s="348"/>
      <c r="G60" s="348"/>
      <c r="H60" s="348"/>
      <c r="I60" s="348"/>
      <c r="J60" s="348"/>
      <c r="K60" s="348"/>
      <c r="L60" s="348"/>
      <c r="M60" s="348"/>
      <c r="N60" s="348"/>
      <c r="O60" s="113">
        <f t="shared" si="6"/>
        <v>0</v>
      </c>
      <c r="P60" s="349"/>
      <c r="Q60" s="113">
        <f t="shared" si="7"/>
        <v>0</v>
      </c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</row>
    <row r="61" spans="1:44" x14ac:dyDescent="0.2">
      <c r="A61" s="110">
        <v>400</v>
      </c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113">
        <f t="shared" si="6"/>
        <v>0</v>
      </c>
      <c r="P61" s="349"/>
      <c r="Q61" s="113">
        <f t="shared" si="7"/>
        <v>0</v>
      </c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</row>
    <row r="62" spans="1:44" x14ac:dyDescent="0.2">
      <c r="A62" s="110">
        <v>500</v>
      </c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M62" s="348"/>
      <c r="N62" s="348"/>
      <c r="O62" s="113">
        <f t="shared" si="6"/>
        <v>0</v>
      </c>
      <c r="P62" s="349"/>
      <c r="Q62" s="113">
        <f t="shared" si="7"/>
        <v>0</v>
      </c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</row>
    <row r="63" spans="1:44" x14ac:dyDescent="0.2">
      <c r="A63" s="110">
        <v>630</v>
      </c>
      <c r="B63" s="348"/>
      <c r="C63" s="348"/>
      <c r="D63" s="348"/>
      <c r="E63" s="348"/>
      <c r="F63" s="348"/>
      <c r="G63" s="348"/>
      <c r="H63" s="348"/>
      <c r="I63" s="348"/>
      <c r="J63" s="348"/>
      <c r="K63" s="348"/>
      <c r="L63" s="348"/>
      <c r="M63" s="348"/>
      <c r="N63" s="348"/>
      <c r="O63" s="113">
        <f t="shared" si="6"/>
        <v>0</v>
      </c>
      <c r="P63" s="349"/>
      <c r="Q63" s="113">
        <f t="shared" si="7"/>
        <v>0</v>
      </c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</row>
    <row r="64" spans="1:44" x14ac:dyDescent="0.2">
      <c r="A64" s="110">
        <v>800</v>
      </c>
      <c r="B64" s="348"/>
      <c r="C64" s="348"/>
      <c r="D64" s="348"/>
      <c r="E64" s="348"/>
      <c r="F64" s="348"/>
      <c r="G64" s="348"/>
      <c r="H64" s="348"/>
      <c r="I64" s="348"/>
      <c r="J64" s="348"/>
      <c r="K64" s="348"/>
      <c r="L64" s="348"/>
      <c r="M64" s="348"/>
      <c r="N64" s="348"/>
      <c r="O64" s="113">
        <f t="shared" si="6"/>
        <v>0</v>
      </c>
      <c r="P64" s="349"/>
      <c r="Q64" s="113">
        <f t="shared" si="7"/>
        <v>0</v>
      </c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</row>
    <row r="65" spans="1:44" x14ac:dyDescent="0.2">
      <c r="A65" s="110">
        <v>1000</v>
      </c>
      <c r="B65" s="348"/>
      <c r="C65" s="348"/>
      <c r="D65" s="348"/>
      <c r="E65" s="348"/>
      <c r="F65" s="348"/>
      <c r="G65" s="348"/>
      <c r="H65" s="348"/>
      <c r="I65" s="348"/>
      <c r="J65" s="348"/>
      <c r="K65" s="348"/>
      <c r="L65" s="348"/>
      <c r="M65" s="348"/>
      <c r="N65" s="348"/>
      <c r="O65" s="133">
        <f>SUM(B65:N65)</f>
        <v>0</v>
      </c>
      <c r="P65" s="349"/>
      <c r="Q65" s="133">
        <f>SUM(O65-P65)</f>
        <v>0</v>
      </c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</row>
    <row r="66" spans="1:44" x14ac:dyDescent="0.2">
      <c r="A66" s="110">
        <v>1250</v>
      </c>
      <c r="B66" s="348"/>
      <c r="C66" s="348"/>
      <c r="D66" s="348"/>
      <c r="E66" s="348"/>
      <c r="F66" s="348"/>
      <c r="G66" s="348"/>
      <c r="H66" s="348"/>
      <c r="I66" s="348"/>
      <c r="J66" s="348"/>
      <c r="K66" s="348"/>
      <c r="L66" s="348"/>
      <c r="M66" s="348"/>
      <c r="N66" s="348"/>
      <c r="O66" s="113">
        <f t="shared" si="6"/>
        <v>0</v>
      </c>
      <c r="P66" s="349"/>
      <c r="Q66" s="113">
        <f t="shared" si="7"/>
        <v>0</v>
      </c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</row>
    <row r="67" spans="1:44" x14ac:dyDescent="0.2">
      <c r="A67" s="148"/>
      <c r="B67" s="148"/>
      <c r="C67" s="148"/>
      <c r="D67" s="148"/>
      <c r="E67" s="148"/>
      <c r="F67" s="148"/>
      <c r="G67" s="148"/>
      <c r="H67" s="148"/>
      <c r="I67" s="148"/>
      <c r="J67" s="120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</row>
    <row r="68" spans="1:44" ht="13.5" thickBot="1" x14ac:dyDescent="0.25">
      <c r="A68" s="156" t="s">
        <v>530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0"/>
      <c r="M68" s="148"/>
      <c r="N68" s="366"/>
      <c r="O68" s="148"/>
      <c r="P68" s="366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</row>
    <row r="69" spans="1:44" x14ac:dyDescent="0.2">
      <c r="A69" s="148"/>
      <c r="B69" s="148" t="s">
        <v>252</v>
      </c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</row>
    <row r="70" spans="1:44" x14ac:dyDescent="0.2">
      <c r="A70" s="110" t="s">
        <v>256</v>
      </c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0" t="s">
        <v>253</v>
      </c>
      <c r="P70" s="112" t="s">
        <v>254</v>
      </c>
      <c r="Q70" s="110" t="s">
        <v>255</v>
      </c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</row>
    <row r="71" spans="1:44" x14ac:dyDescent="0.2">
      <c r="A71" s="110">
        <v>-125</v>
      </c>
      <c r="B71" s="347"/>
      <c r="C71" s="347" t="s">
        <v>67</v>
      </c>
      <c r="D71" s="348"/>
      <c r="E71" s="348"/>
      <c r="F71" s="348"/>
      <c r="G71" s="348"/>
      <c r="H71" s="348"/>
      <c r="I71" s="348"/>
      <c r="J71" s="348"/>
      <c r="K71" s="348"/>
      <c r="L71" s="348"/>
      <c r="M71" s="348"/>
      <c r="N71" s="348"/>
      <c r="O71" s="113">
        <f>SUM(B71:N71)</f>
        <v>0</v>
      </c>
      <c r="P71" s="349"/>
      <c r="Q71" s="113">
        <f>O71-P71</f>
        <v>0</v>
      </c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</row>
    <row r="72" spans="1:44" x14ac:dyDescent="0.2">
      <c r="A72" s="110">
        <v>-200</v>
      </c>
      <c r="B72" s="348"/>
      <c r="C72" s="348"/>
      <c r="D72" s="348"/>
      <c r="E72" s="348"/>
      <c r="F72" s="348"/>
      <c r="G72" s="348"/>
      <c r="H72" s="348"/>
      <c r="I72" s="348"/>
      <c r="J72" s="348"/>
      <c r="K72" s="348"/>
      <c r="L72" s="348"/>
      <c r="M72" s="348"/>
      <c r="N72" s="348"/>
      <c r="O72" s="113">
        <f t="shared" ref="O72:O80" si="8">SUM(B72:N72)</f>
        <v>0</v>
      </c>
      <c r="P72" s="349"/>
      <c r="Q72" s="113">
        <f t="shared" ref="Q72:Q80" si="9">O72-P72</f>
        <v>0</v>
      </c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</row>
    <row r="73" spans="1:44" x14ac:dyDescent="0.2">
      <c r="A73" s="110">
        <v>250</v>
      </c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113">
        <f t="shared" si="8"/>
        <v>0</v>
      </c>
      <c r="P73" s="349"/>
      <c r="Q73" s="113">
        <f t="shared" si="9"/>
        <v>0</v>
      </c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</row>
    <row r="74" spans="1:44" x14ac:dyDescent="0.2">
      <c r="A74" s="110">
        <v>315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113">
        <f t="shared" si="8"/>
        <v>0</v>
      </c>
      <c r="P74" s="349"/>
      <c r="Q74" s="113">
        <f t="shared" si="9"/>
        <v>0</v>
      </c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</row>
    <row r="75" spans="1:44" x14ac:dyDescent="0.2">
      <c r="A75" s="110">
        <v>400</v>
      </c>
      <c r="B75" s="348"/>
      <c r="C75" s="348"/>
      <c r="D75" s="348"/>
      <c r="E75" s="348"/>
      <c r="F75" s="348"/>
      <c r="G75" s="348"/>
      <c r="H75" s="348"/>
      <c r="I75" s="348"/>
      <c r="J75" s="348"/>
      <c r="K75" s="348"/>
      <c r="L75" s="348"/>
      <c r="M75" s="348"/>
      <c r="N75" s="348"/>
      <c r="O75" s="113">
        <f t="shared" si="8"/>
        <v>0</v>
      </c>
      <c r="P75" s="349"/>
      <c r="Q75" s="113">
        <f t="shared" si="9"/>
        <v>0</v>
      </c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</row>
    <row r="76" spans="1:44" x14ac:dyDescent="0.2">
      <c r="A76" s="110">
        <v>500</v>
      </c>
      <c r="B76" s="348"/>
      <c r="C76" s="348"/>
      <c r="D76" s="348"/>
      <c r="E76" s="348"/>
      <c r="F76" s="348"/>
      <c r="G76" s="348"/>
      <c r="H76" s="348"/>
      <c r="I76" s="348"/>
      <c r="J76" s="348"/>
      <c r="K76" s="348"/>
      <c r="L76" s="348"/>
      <c r="M76" s="348"/>
      <c r="N76" s="348"/>
      <c r="O76" s="113">
        <f t="shared" si="8"/>
        <v>0</v>
      </c>
      <c r="P76" s="349"/>
      <c r="Q76" s="113">
        <f t="shared" si="9"/>
        <v>0</v>
      </c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</row>
    <row r="77" spans="1:44" x14ac:dyDescent="0.2">
      <c r="A77" s="110">
        <v>630</v>
      </c>
      <c r="B77" s="348"/>
      <c r="C77" s="348"/>
      <c r="D77" s="348"/>
      <c r="E77" s="348"/>
      <c r="F77" s="348"/>
      <c r="G77" s="348"/>
      <c r="H77" s="348"/>
      <c r="I77" s="348"/>
      <c r="J77" s="348"/>
      <c r="K77" s="348"/>
      <c r="L77" s="348"/>
      <c r="M77" s="348"/>
      <c r="N77" s="348"/>
      <c r="O77" s="113">
        <f t="shared" si="8"/>
        <v>0</v>
      </c>
      <c r="P77" s="349"/>
      <c r="Q77" s="113">
        <f t="shared" si="9"/>
        <v>0</v>
      </c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</row>
    <row r="78" spans="1:44" x14ac:dyDescent="0.2">
      <c r="A78" s="110">
        <v>800</v>
      </c>
      <c r="B78" s="348"/>
      <c r="C78" s="348"/>
      <c r="D78" s="348"/>
      <c r="E78" s="348"/>
      <c r="F78" s="348"/>
      <c r="G78" s="348"/>
      <c r="H78" s="348"/>
      <c r="I78" s="348"/>
      <c r="J78" s="348"/>
      <c r="K78" s="348"/>
      <c r="L78" s="348"/>
      <c r="M78" s="348"/>
      <c r="N78" s="348"/>
      <c r="O78" s="113">
        <f t="shared" si="8"/>
        <v>0</v>
      </c>
      <c r="P78" s="349"/>
      <c r="Q78" s="113">
        <f t="shared" si="9"/>
        <v>0</v>
      </c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</row>
    <row r="79" spans="1:44" x14ac:dyDescent="0.2">
      <c r="A79" s="110">
        <v>1000</v>
      </c>
      <c r="B79" s="348"/>
      <c r="C79" s="348"/>
      <c r="D79" s="348"/>
      <c r="E79" s="348"/>
      <c r="F79" s="348"/>
      <c r="G79" s="348"/>
      <c r="H79" s="348"/>
      <c r="I79" s="348"/>
      <c r="J79" s="348"/>
      <c r="K79" s="348"/>
      <c r="L79" s="348"/>
      <c r="M79" s="348"/>
      <c r="N79" s="348"/>
      <c r="O79" s="113">
        <f t="shared" si="8"/>
        <v>0</v>
      </c>
      <c r="P79" s="349"/>
      <c r="Q79" s="113">
        <f t="shared" si="9"/>
        <v>0</v>
      </c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</row>
    <row r="80" spans="1:44" x14ac:dyDescent="0.2">
      <c r="A80" s="110">
        <v>1250</v>
      </c>
      <c r="B80" s="348"/>
      <c r="C80" s="348"/>
      <c r="D80" s="348"/>
      <c r="E80" s="348"/>
      <c r="F80" s="348"/>
      <c r="G80" s="348"/>
      <c r="H80" s="348"/>
      <c r="I80" s="348"/>
      <c r="J80" s="348"/>
      <c r="K80" s="348"/>
      <c r="L80" s="348"/>
      <c r="M80" s="348"/>
      <c r="N80" s="348"/>
      <c r="O80" s="113">
        <f t="shared" si="8"/>
        <v>0</v>
      </c>
      <c r="P80" s="349"/>
      <c r="Q80" s="113">
        <f t="shared" si="9"/>
        <v>0</v>
      </c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</row>
    <row r="81" spans="1:44" x14ac:dyDescent="0.2">
      <c r="A81" s="148"/>
      <c r="B81" s="148"/>
      <c r="C81" s="148"/>
      <c r="D81" s="148"/>
      <c r="E81" s="148"/>
      <c r="F81" s="148"/>
      <c r="G81" s="148"/>
      <c r="H81" s="148"/>
      <c r="I81" s="148"/>
      <c r="J81" s="120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</row>
    <row r="82" spans="1:44" ht="13.5" thickBot="1" x14ac:dyDescent="0.25">
      <c r="A82" s="156" t="s">
        <v>259</v>
      </c>
      <c r="B82" s="123"/>
      <c r="C82" s="123"/>
      <c r="D82" s="123"/>
      <c r="E82" s="123"/>
      <c r="F82" s="123"/>
      <c r="G82" s="123"/>
      <c r="H82" s="123"/>
      <c r="I82" s="120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</row>
    <row r="83" spans="1:44" x14ac:dyDescent="0.2">
      <c r="A83" s="148"/>
      <c r="B83" s="148" t="s">
        <v>252</v>
      </c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</row>
    <row r="84" spans="1:44" x14ac:dyDescent="0.2">
      <c r="A84" s="110" t="s">
        <v>256</v>
      </c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0" t="s">
        <v>253</v>
      </c>
      <c r="P84" s="112" t="s">
        <v>254</v>
      </c>
      <c r="Q84" s="110" t="s">
        <v>255</v>
      </c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</row>
    <row r="85" spans="1:44" x14ac:dyDescent="0.2">
      <c r="A85" s="110">
        <v>-125</v>
      </c>
      <c r="B85" s="347"/>
      <c r="C85" s="347" t="s">
        <v>67</v>
      </c>
      <c r="D85" s="348"/>
      <c r="E85" s="348"/>
      <c r="F85" s="348"/>
      <c r="G85" s="348"/>
      <c r="H85" s="348"/>
      <c r="I85" s="348"/>
      <c r="J85" s="348"/>
      <c r="K85" s="348"/>
      <c r="L85" s="348"/>
      <c r="M85" s="348"/>
      <c r="N85" s="348"/>
      <c r="O85" s="113">
        <f>SUM(B85:N85)</f>
        <v>0</v>
      </c>
      <c r="P85" s="349"/>
      <c r="Q85" s="113">
        <f>O85-P85</f>
        <v>0</v>
      </c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</row>
    <row r="86" spans="1:44" x14ac:dyDescent="0.2">
      <c r="A86" s="110">
        <v>-200</v>
      </c>
      <c r="B86" s="348"/>
      <c r="C86" s="348"/>
      <c r="D86" s="348"/>
      <c r="E86" s="348"/>
      <c r="F86" s="348"/>
      <c r="G86" s="348"/>
      <c r="H86" s="348"/>
      <c r="I86" s="348"/>
      <c r="J86" s="348"/>
      <c r="K86" s="348"/>
      <c r="L86" s="348"/>
      <c r="M86" s="348"/>
      <c r="N86" s="348"/>
      <c r="O86" s="113">
        <f t="shared" ref="O86:O94" si="10">SUM(B86:N86)</f>
        <v>0</v>
      </c>
      <c r="P86" s="349"/>
      <c r="Q86" s="113">
        <f t="shared" ref="Q86:Q94" si="11">O86-P86</f>
        <v>0</v>
      </c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</row>
    <row r="87" spans="1:44" x14ac:dyDescent="0.2">
      <c r="A87" s="110">
        <v>250</v>
      </c>
      <c r="B87" s="348"/>
      <c r="C87" s="348"/>
      <c r="D87" s="348"/>
      <c r="E87" s="348"/>
      <c r="F87" s="348"/>
      <c r="G87" s="348"/>
      <c r="H87" s="348"/>
      <c r="I87" s="348"/>
      <c r="J87" s="348"/>
      <c r="K87" s="348"/>
      <c r="L87" s="348"/>
      <c r="M87" s="348"/>
      <c r="N87" s="348"/>
      <c r="O87" s="113">
        <f t="shared" si="10"/>
        <v>0</v>
      </c>
      <c r="P87" s="349"/>
      <c r="Q87" s="113">
        <f t="shared" si="11"/>
        <v>0</v>
      </c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</row>
    <row r="88" spans="1:44" x14ac:dyDescent="0.2">
      <c r="A88" s="110">
        <v>315</v>
      </c>
      <c r="B88" s="348"/>
      <c r="C88" s="348"/>
      <c r="D88" s="348"/>
      <c r="E88" s="348"/>
      <c r="F88" s="348"/>
      <c r="G88" s="348"/>
      <c r="H88" s="348"/>
      <c r="I88" s="348"/>
      <c r="J88" s="348"/>
      <c r="K88" s="348"/>
      <c r="L88" s="348"/>
      <c r="M88" s="348"/>
      <c r="N88" s="348"/>
      <c r="O88" s="113">
        <f t="shared" si="10"/>
        <v>0</v>
      </c>
      <c r="P88" s="349"/>
      <c r="Q88" s="113">
        <f t="shared" si="11"/>
        <v>0</v>
      </c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</row>
    <row r="89" spans="1:44" x14ac:dyDescent="0.2">
      <c r="A89" s="110">
        <v>400</v>
      </c>
      <c r="B89" s="348"/>
      <c r="C89" s="348"/>
      <c r="D89" s="348"/>
      <c r="E89" s="348"/>
      <c r="F89" s="348"/>
      <c r="G89" s="348"/>
      <c r="H89" s="348"/>
      <c r="I89" s="348"/>
      <c r="J89" s="348"/>
      <c r="K89" s="348"/>
      <c r="L89" s="348"/>
      <c r="M89" s="348"/>
      <c r="N89" s="348"/>
      <c r="O89" s="113">
        <f t="shared" si="10"/>
        <v>0</v>
      </c>
      <c r="P89" s="349"/>
      <c r="Q89" s="113">
        <f t="shared" si="11"/>
        <v>0</v>
      </c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</row>
    <row r="90" spans="1:44" x14ac:dyDescent="0.2">
      <c r="A90" s="110">
        <v>500</v>
      </c>
      <c r="B90" s="348"/>
      <c r="C90" s="348"/>
      <c r="D90" s="348"/>
      <c r="E90" s="348"/>
      <c r="F90" s="348"/>
      <c r="G90" s="348"/>
      <c r="H90" s="348"/>
      <c r="I90" s="348"/>
      <c r="J90" s="348"/>
      <c r="K90" s="348"/>
      <c r="L90" s="348"/>
      <c r="M90" s="348"/>
      <c r="N90" s="348"/>
      <c r="O90" s="113">
        <f t="shared" si="10"/>
        <v>0</v>
      </c>
      <c r="P90" s="349"/>
      <c r="Q90" s="113">
        <f t="shared" si="11"/>
        <v>0</v>
      </c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</row>
    <row r="91" spans="1:44" x14ac:dyDescent="0.2">
      <c r="A91" s="110">
        <v>630</v>
      </c>
      <c r="B91" s="348"/>
      <c r="C91" s="348"/>
      <c r="D91" s="348"/>
      <c r="E91" s="348"/>
      <c r="F91" s="348"/>
      <c r="G91" s="348"/>
      <c r="H91" s="348"/>
      <c r="I91" s="348"/>
      <c r="J91" s="348"/>
      <c r="K91" s="348"/>
      <c r="L91" s="348"/>
      <c r="M91" s="348"/>
      <c r="N91" s="348"/>
      <c r="O91" s="113">
        <f t="shared" si="10"/>
        <v>0</v>
      </c>
      <c r="P91" s="349"/>
      <c r="Q91" s="113">
        <f t="shared" si="11"/>
        <v>0</v>
      </c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</row>
    <row r="92" spans="1:44" x14ac:dyDescent="0.2">
      <c r="A92" s="110">
        <v>800</v>
      </c>
      <c r="B92" s="348"/>
      <c r="C92" s="348"/>
      <c r="D92" s="348"/>
      <c r="E92" s="348"/>
      <c r="F92" s="348"/>
      <c r="G92" s="348"/>
      <c r="H92" s="348"/>
      <c r="I92" s="348"/>
      <c r="J92" s="348"/>
      <c r="K92" s="348"/>
      <c r="L92" s="348"/>
      <c r="M92" s="348"/>
      <c r="N92" s="348"/>
      <c r="O92" s="113">
        <f t="shared" si="10"/>
        <v>0</v>
      </c>
      <c r="P92" s="349"/>
      <c r="Q92" s="113">
        <f t="shared" si="11"/>
        <v>0</v>
      </c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</row>
    <row r="93" spans="1:44" x14ac:dyDescent="0.2">
      <c r="A93" s="110">
        <v>1000</v>
      </c>
      <c r="B93" s="348"/>
      <c r="C93" s="348"/>
      <c r="D93" s="348"/>
      <c r="E93" s="348"/>
      <c r="F93" s="348"/>
      <c r="G93" s="348"/>
      <c r="H93" s="348"/>
      <c r="I93" s="348"/>
      <c r="J93" s="348"/>
      <c r="K93" s="348"/>
      <c r="L93" s="348"/>
      <c r="M93" s="348"/>
      <c r="N93" s="348"/>
      <c r="O93" s="113">
        <f t="shared" si="10"/>
        <v>0</v>
      </c>
      <c r="P93" s="349"/>
      <c r="Q93" s="113">
        <f t="shared" si="11"/>
        <v>0</v>
      </c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</row>
    <row r="94" spans="1:44" x14ac:dyDescent="0.2">
      <c r="A94" s="110">
        <v>1250</v>
      </c>
      <c r="B94" s="348"/>
      <c r="C94" s="348"/>
      <c r="D94" s="348"/>
      <c r="E94" s="348"/>
      <c r="F94" s="348"/>
      <c r="G94" s="348"/>
      <c r="H94" s="348"/>
      <c r="I94" s="348"/>
      <c r="J94" s="348"/>
      <c r="K94" s="348"/>
      <c r="L94" s="348"/>
      <c r="M94" s="348"/>
      <c r="N94" s="348"/>
      <c r="O94" s="113">
        <f t="shared" si="10"/>
        <v>0</v>
      </c>
      <c r="P94" s="349"/>
      <c r="Q94" s="113">
        <f t="shared" si="11"/>
        <v>0</v>
      </c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</row>
    <row r="95" spans="1:44" x14ac:dyDescent="0.2">
      <c r="A95" s="148"/>
      <c r="B95" s="148"/>
      <c r="C95" s="148"/>
      <c r="D95" s="148"/>
      <c r="E95" s="148"/>
      <c r="F95" s="148"/>
      <c r="G95" s="148"/>
      <c r="H95" s="148"/>
      <c r="I95" s="148"/>
      <c r="J95" s="120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</row>
    <row r="96" spans="1:44" ht="13.5" thickBot="1" x14ac:dyDescent="0.25">
      <c r="A96" s="156" t="s">
        <v>261</v>
      </c>
      <c r="B96" s="123"/>
      <c r="C96" s="123"/>
      <c r="D96" s="123"/>
      <c r="E96" s="123"/>
      <c r="F96" s="123"/>
      <c r="G96" s="123"/>
      <c r="H96" s="123"/>
      <c r="I96" s="123"/>
      <c r="J96" s="148"/>
      <c r="K96" s="148"/>
      <c r="L96" s="148"/>
      <c r="M96" s="148"/>
      <c r="N96" s="366" t="s">
        <v>234</v>
      </c>
      <c r="O96" s="148"/>
      <c r="P96" s="366" t="s">
        <v>299</v>
      </c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</row>
    <row r="97" spans="1:44" x14ac:dyDescent="0.2">
      <c r="A97" s="148"/>
      <c r="B97" s="148" t="s">
        <v>252</v>
      </c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</row>
    <row r="98" spans="1:44" x14ac:dyDescent="0.2">
      <c r="A98" s="110" t="s">
        <v>256</v>
      </c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0" t="s">
        <v>253</v>
      </c>
      <c r="P98" s="112" t="s">
        <v>254</v>
      </c>
      <c r="Q98" s="110" t="s">
        <v>255</v>
      </c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</row>
    <row r="99" spans="1:44" x14ac:dyDescent="0.2">
      <c r="A99" s="110">
        <v>-125</v>
      </c>
      <c r="B99" s="347"/>
      <c r="C99" s="347" t="s">
        <v>67</v>
      </c>
      <c r="D99" s="348"/>
      <c r="E99" s="348"/>
      <c r="F99" s="348"/>
      <c r="G99" s="348"/>
      <c r="H99" s="348"/>
      <c r="I99" s="348"/>
      <c r="J99" s="348"/>
      <c r="K99" s="348"/>
      <c r="L99" s="348"/>
      <c r="M99" s="348"/>
      <c r="N99" s="348"/>
      <c r="O99" s="113">
        <f>SUM(B99:N99)</f>
        <v>0</v>
      </c>
      <c r="P99" s="349"/>
      <c r="Q99" s="113">
        <f>O99-P99</f>
        <v>0</v>
      </c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</row>
    <row r="100" spans="1:44" x14ac:dyDescent="0.2">
      <c r="A100" s="110">
        <v>-200</v>
      </c>
      <c r="B100" s="348"/>
      <c r="C100" s="348"/>
      <c r="D100" s="348"/>
      <c r="E100" s="348"/>
      <c r="F100" s="348"/>
      <c r="G100" s="348"/>
      <c r="H100" s="348"/>
      <c r="I100" s="348"/>
      <c r="J100" s="348"/>
      <c r="K100" s="348"/>
      <c r="L100" s="348"/>
      <c r="M100" s="348"/>
      <c r="N100" s="348"/>
      <c r="O100" s="113">
        <f t="shared" ref="O100:O108" si="12">SUM(B100:N100)</f>
        <v>0</v>
      </c>
      <c r="P100" s="349"/>
      <c r="Q100" s="113">
        <f t="shared" ref="Q100:Q108" si="13">O100-P100</f>
        <v>0</v>
      </c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</row>
    <row r="101" spans="1:44" x14ac:dyDescent="0.2">
      <c r="A101" s="110">
        <v>250</v>
      </c>
      <c r="B101" s="348"/>
      <c r="C101" s="348"/>
      <c r="D101" s="348"/>
      <c r="E101" s="348"/>
      <c r="F101" s="348"/>
      <c r="G101" s="348"/>
      <c r="H101" s="348"/>
      <c r="I101" s="348"/>
      <c r="J101" s="348"/>
      <c r="K101" s="348"/>
      <c r="L101" s="348"/>
      <c r="M101" s="348"/>
      <c r="N101" s="348"/>
      <c r="O101" s="113">
        <f t="shared" si="12"/>
        <v>0</v>
      </c>
      <c r="P101" s="349"/>
      <c r="Q101" s="113">
        <f t="shared" si="13"/>
        <v>0</v>
      </c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</row>
    <row r="102" spans="1:44" x14ac:dyDescent="0.2">
      <c r="A102" s="110">
        <v>315</v>
      </c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113">
        <f t="shared" si="12"/>
        <v>0</v>
      </c>
      <c r="P102" s="349"/>
      <c r="Q102" s="113">
        <f t="shared" si="13"/>
        <v>0</v>
      </c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</row>
    <row r="103" spans="1:44" x14ac:dyDescent="0.2">
      <c r="A103" s="110">
        <v>400</v>
      </c>
      <c r="B103" s="348"/>
      <c r="C103" s="348"/>
      <c r="D103" s="348"/>
      <c r="E103" s="348"/>
      <c r="F103" s="348"/>
      <c r="G103" s="348"/>
      <c r="H103" s="348"/>
      <c r="I103" s="348"/>
      <c r="J103" s="348"/>
      <c r="K103" s="348"/>
      <c r="L103" s="348"/>
      <c r="M103" s="348"/>
      <c r="N103" s="348"/>
      <c r="O103" s="113">
        <f t="shared" si="12"/>
        <v>0</v>
      </c>
      <c r="P103" s="349"/>
      <c r="Q103" s="113">
        <f t="shared" si="13"/>
        <v>0</v>
      </c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</row>
    <row r="104" spans="1:44" x14ac:dyDescent="0.2">
      <c r="A104" s="110">
        <v>500</v>
      </c>
      <c r="B104" s="348"/>
      <c r="C104" s="348"/>
      <c r="D104" s="348"/>
      <c r="E104" s="348"/>
      <c r="F104" s="348"/>
      <c r="G104" s="348"/>
      <c r="H104" s="348"/>
      <c r="I104" s="348"/>
      <c r="J104" s="348"/>
      <c r="K104" s="348"/>
      <c r="L104" s="348"/>
      <c r="M104" s="348"/>
      <c r="N104" s="348"/>
      <c r="O104" s="113">
        <f t="shared" si="12"/>
        <v>0</v>
      </c>
      <c r="P104" s="349"/>
      <c r="Q104" s="113">
        <f t="shared" si="13"/>
        <v>0</v>
      </c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</row>
    <row r="105" spans="1:44" x14ac:dyDescent="0.2">
      <c r="A105" s="110">
        <v>630</v>
      </c>
      <c r="B105" s="348"/>
      <c r="C105" s="348"/>
      <c r="D105" s="348"/>
      <c r="E105" s="348"/>
      <c r="F105" s="348"/>
      <c r="G105" s="348"/>
      <c r="H105" s="348"/>
      <c r="I105" s="348"/>
      <c r="J105" s="348"/>
      <c r="K105" s="348"/>
      <c r="L105" s="348"/>
      <c r="M105" s="348"/>
      <c r="N105" s="348"/>
      <c r="O105" s="113">
        <f t="shared" si="12"/>
        <v>0</v>
      </c>
      <c r="P105" s="349"/>
      <c r="Q105" s="113">
        <f t="shared" si="13"/>
        <v>0</v>
      </c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</row>
    <row r="106" spans="1:44" x14ac:dyDescent="0.2">
      <c r="A106" s="110">
        <v>800</v>
      </c>
      <c r="B106" s="348"/>
      <c r="C106" s="348"/>
      <c r="D106" s="348"/>
      <c r="E106" s="348"/>
      <c r="F106" s="348"/>
      <c r="G106" s="348"/>
      <c r="H106" s="348"/>
      <c r="I106" s="348"/>
      <c r="J106" s="348"/>
      <c r="K106" s="348"/>
      <c r="L106" s="348"/>
      <c r="M106" s="348"/>
      <c r="N106" s="348"/>
      <c r="O106" s="113">
        <f t="shared" si="12"/>
        <v>0</v>
      </c>
      <c r="P106" s="349"/>
      <c r="Q106" s="113">
        <f t="shared" si="13"/>
        <v>0</v>
      </c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</row>
    <row r="107" spans="1:44" x14ac:dyDescent="0.2">
      <c r="A107" s="110">
        <v>1000</v>
      </c>
      <c r="B107" s="348"/>
      <c r="C107" s="348"/>
      <c r="D107" s="348"/>
      <c r="E107" s="348"/>
      <c r="F107" s="348"/>
      <c r="G107" s="348"/>
      <c r="H107" s="348"/>
      <c r="I107" s="348"/>
      <c r="J107" s="348"/>
      <c r="K107" s="348"/>
      <c r="L107" s="348"/>
      <c r="M107" s="348"/>
      <c r="N107" s="348"/>
      <c r="O107" s="113">
        <f t="shared" si="12"/>
        <v>0</v>
      </c>
      <c r="P107" s="349"/>
      <c r="Q107" s="113">
        <f t="shared" si="13"/>
        <v>0</v>
      </c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</row>
    <row r="108" spans="1:44" x14ac:dyDescent="0.2">
      <c r="A108" s="110">
        <v>1250</v>
      </c>
      <c r="B108" s="348"/>
      <c r="C108" s="348"/>
      <c r="D108" s="348"/>
      <c r="E108" s="348"/>
      <c r="F108" s="348"/>
      <c r="G108" s="348"/>
      <c r="H108" s="348"/>
      <c r="I108" s="348"/>
      <c r="J108" s="348"/>
      <c r="K108" s="348"/>
      <c r="L108" s="348"/>
      <c r="M108" s="348"/>
      <c r="N108" s="348"/>
      <c r="O108" s="113">
        <f t="shared" si="12"/>
        <v>0</v>
      </c>
      <c r="P108" s="349"/>
      <c r="Q108" s="113">
        <f t="shared" si="13"/>
        <v>0</v>
      </c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</row>
    <row r="109" spans="1:44" x14ac:dyDescent="0.2">
      <c r="A109" s="148"/>
      <c r="B109" s="148"/>
      <c r="C109" s="148"/>
      <c r="D109" s="148"/>
      <c r="E109" s="148"/>
      <c r="F109" s="148"/>
      <c r="G109" s="148"/>
      <c r="H109" s="148"/>
      <c r="I109" s="148"/>
      <c r="J109" s="120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</row>
    <row r="110" spans="1:44" ht="13.5" thickBot="1" x14ac:dyDescent="0.25">
      <c r="A110" s="156" t="s">
        <v>262</v>
      </c>
      <c r="B110" s="123"/>
      <c r="C110" s="123"/>
      <c r="D110" s="123"/>
      <c r="E110" s="123"/>
      <c r="F110" s="123"/>
      <c r="G110" s="123"/>
      <c r="H110" s="123"/>
      <c r="I110" s="123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</row>
    <row r="111" spans="1:44" x14ac:dyDescent="0.2">
      <c r="A111" s="148"/>
      <c r="B111" s="148" t="s">
        <v>252</v>
      </c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</row>
    <row r="112" spans="1:44" x14ac:dyDescent="0.2">
      <c r="A112" s="110" t="s">
        <v>256</v>
      </c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0" t="s">
        <v>253</v>
      </c>
      <c r="P112" s="112" t="s">
        <v>254</v>
      </c>
      <c r="Q112" s="110" t="s">
        <v>255</v>
      </c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</row>
    <row r="113" spans="1:44" x14ac:dyDescent="0.2">
      <c r="A113" s="110">
        <v>-125</v>
      </c>
      <c r="B113" s="347"/>
      <c r="C113" s="347" t="s">
        <v>67</v>
      </c>
      <c r="D113" s="348"/>
      <c r="E113" s="348"/>
      <c r="F113" s="348"/>
      <c r="G113" s="348"/>
      <c r="H113" s="348"/>
      <c r="I113" s="348"/>
      <c r="J113" s="348"/>
      <c r="K113" s="348"/>
      <c r="L113" s="348"/>
      <c r="M113" s="348"/>
      <c r="N113" s="348"/>
      <c r="O113" s="113">
        <f>SUM(B113:N113)</f>
        <v>0</v>
      </c>
      <c r="P113" s="349"/>
      <c r="Q113" s="113">
        <f>O113-P113</f>
        <v>0</v>
      </c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</row>
    <row r="114" spans="1:44" x14ac:dyDescent="0.2">
      <c r="A114" s="110">
        <v>-200</v>
      </c>
      <c r="B114" s="348"/>
      <c r="C114" s="348"/>
      <c r="D114" s="348"/>
      <c r="E114" s="348"/>
      <c r="F114" s="348"/>
      <c r="G114" s="348"/>
      <c r="H114" s="348"/>
      <c r="I114" s="348"/>
      <c r="J114" s="348"/>
      <c r="K114" s="348"/>
      <c r="L114" s="348"/>
      <c r="M114" s="348"/>
      <c r="N114" s="348"/>
      <c r="O114" s="113">
        <f t="shared" ref="O114:O122" si="14">SUM(B114:N114)</f>
        <v>0</v>
      </c>
      <c r="P114" s="349"/>
      <c r="Q114" s="113">
        <f t="shared" ref="Q114:Q122" si="15">O114-P114</f>
        <v>0</v>
      </c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</row>
    <row r="115" spans="1:44" x14ac:dyDescent="0.2">
      <c r="A115" s="110">
        <v>250</v>
      </c>
      <c r="B115" s="348"/>
      <c r="C115" s="348"/>
      <c r="D115" s="348"/>
      <c r="E115" s="348"/>
      <c r="F115" s="348"/>
      <c r="G115" s="348"/>
      <c r="H115" s="348"/>
      <c r="I115" s="348"/>
      <c r="J115" s="348"/>
      <c r="K115" s="348"/>
      <c r="L115" s="348"/>
      <c r="M115" s="348"/>
      <c r="N115" s="348"/>
      <c r="O115" s="113">
        <f t="shared" si="14"/>
        <v>0</v>
      </c>
      <c r="P115" s="349"/>
      <c r="Q115" s="113">
        <f t="shared" si="15"/>
        <v>0</v>
      </c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</row>
    <row r="116" spans="1:44" x14ac:dyDescent="0.2">
      <c r="A116" s="110">
        <v>315</v>
      </c>
      <c r="B116" s="348"/>
      <c r="C116" s="348"/>
      <c r="D116" s="348"/>
      <c r="E116" s="348"/>
      <c r="F116" s="348"/>
      <c r="G116" s="348"/>
      <c r="H116" s="348"/>
      <c r="I116" s="348"/>
      <c r="J116" s="348"/>
      <c r="K116" s="348"/>
      <c r="L116" s="348"/>
      <c r="M116" s="348"/>
      <c r="N116" s="348"/>
      <c r="O116" s="113">
        <f t="shared" si="14"/>
        <v>0</v>
      </c>
      <c r="P116" s="349"/>
      <c r="Q116" s="113">
        <f t="shared" si="15"/>
        <v>0</v>
      </c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</row>
    <row r="117" spans="1:44" x14ac:dyDescent="0.2">
      <c r="A117" s="110">
        <v>400</v>
      </c>
      <c r="B117" s="348"/>
      <c r="C117" s="348"/>
      <c r="D117" s="348"/>
      <c r="E117" s="348"/>
      <c r="F117" s="348"/>
      <c r="G117" s="348"/>
      <c r="H117" s="348"/>
      <c r="I117" s="348"/>
      <c r="J117" s="348"/>
      <c r="K117" s="348"/>
      <c r="L117" s="348"/>
      <c r="M117" s="348"/>
      <c r="N117" s="348"/>
      <c r="O117" s="113">
        <f t="shared" si="14"/>
        <v>0</v>
      </c>
      <c r="P117" s="349"/>
      <c r="Q117" s="113">
        <f t="shared" si="15"/>
        <v>0</v>
      </c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</row>
    <row r="118" spans="1:44" x14ac:dyDescent="0.2">
      <c r="A118" s="110">
        <v>500</v>
      </c>
      <c r="B118" s="348"/>
      <c r="C118" s="348"/>
      <c r="D118" s="348"/>
      <c r="E118" s="348"/>
      <c r="F118" s="348"/>
      <c r="G118" s="348"/>
      <c r="H118" s="348"/>
      <c r="I118" s="348"/>
      <c r="J118" s="348"/>
      <c r="K118" s="348"/>
      <c r="L118" s="348"/>
      <c r="M118" s="348"/>
      <c r="N118" s="348"/>
      <c r="O118" s="113">
        <f t="shared" si="14"/>
        <v>0</v>
      </c>
      <c r="P118" s="349"/>
      <c r="Q118" s="113">
        <f t="shared" si="15"/>
        <v>0</v>
      </c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</row>
    <row r="119" spans="1:44" x14ac:dyDescent="0.2">
      <c r="A119" s="110">
        <v>630</v>
      </c>
      <c r="B119" s="348"/>
      <c r="C119" s="348"/>
      <c r="D119" s="348"/>
      <c r="E119" s="348"/>
      <c r="F119" s="348"/>
      <c r="G119" s="348"/>
      <c r="H119" s="348"/>
      <c r="I119" s="348"/>
      <c r="J119" s="348"/>
      <c r="K119" s="348"/>
      <c r="L119" s="348"/>
      <c r="M119" s="348"/>
      <c r="N119" s="348"/>
      <c r="O119" s="113">
        <f t="shared" si="14"/>
        <v>0</v>
      </c>
      <c r="P119" s="349"/>
      <c r="Q119" s="113">
        <f t="shared" si="15"/>
        <v>0</v>
      </c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</row>
    <row r="120" spans="1:44" x14ac:dyDescent="0.2">
      <c r="A120" s="110">
        <v>800</v>
      </c>
      <c r="B120" s="348"/>
      <c r="C120" s="348"/>
      <c r="D120" s="348"/>
      <c r="E120" s="348"/>
      <c r="F120" s="348"/>
      <c r="G120" s="348"/>
      <c r="H120" s="348"/>
      <c r="I120" s="348"/>
      <c r="J120" s="348"/>
      <c r="K120" s="348"/>
      <c r="L120" s="348"/>
      <c r="M120" s="348"/>
      <c r="N120" s="348"/>
      <c r="O120" s="113">
        <f t="shared" si="14"/>
        <v>0</v>
      </c>
      <c r="P120" s="349"/>
      <c r="Q120" s="113">
        <f t="shared" si="15"/>
        <v>0</v>
      </c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</row>
    <row r="121" spans="1:44" x14ac:dyDescent="0.2">
      <c r="A121" s="110">
        <v>1000</v>
      </c>
      <c r="B121" s="348"/>
      <c r="C121" s="348"/>
      <c r="D121" s="348"/>
      <c r="E121" s="348"/>
      <c r="F121" s="348"/>
      <c r="G121" s="348"/>
      <c r="H121" s="348"/>
      <c r="I121" s="348"/>
      <c r="J121" s="348"/>
      <c r="K121" s="348"/>
      <c r="L121" s="348"/>
      <c r="M121" s="348"/>
      <c r="N121" s="348"/>
      <c r="O121" s="113">
        <f t="shared" si="14"/>
        <v>0</v>
      </c>
      <c r="P121" s="349"/>
      <c r="Q121" s="113">
        <f t="shared" si="15"/>
        <v>0</v>
      </c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</row>
    <row r="122" spans="1:44" x14ac:dyDescent="0.2">
      <c r="A122" s="110">
        <v>1250</v>
      </c>
      <c r="B122" s="348"/>
      <c r="C122" s="348"/>
      <c r="D122" s="348"/>
      <c r="E122" s="348"/>
      <c r="F122" s="348"/>
      <c r="G122" s="348"/>
      <c r="H122" s="348"/>
      <c r="I122" s="348"/>
      <c r="J122" s="348"/>
      <c r="K122" s="348"/>
      <c r="L122" s="348"/>
      <c r="M122" s="348"/>
      <c r="N122" s="348"/>
      <c r="O122" s="113">
        <f t="shared" si="14"/>
        <v>0</v>
      </c>
      <c r="P122" s="349"/>
      <c r="Q122" s="113">
        <f t="shared" si="15"/>
        <v>0</v>
      </c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</row>
    <row r="123" spans="1:44" x14ac:dyDescent="0.2">
      <c r="A123" s="148"/>
      <c r="B123" s="148"/>
      <c r="C123" s="148"/>
      <c r="D123" s="148"/>
      <c r="E123" s="148"/>
      <c r="F123" s="148"/>
      <c r="G123" s="148"/>
      <c r="H123" s="148"/>
      <c r="I123" s="148"/>
      <c r="J123" s="120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</row>
    <row r="124" spans="1:44" x14ac:dyDescent="0.2">
      <c r="A124" s="148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366" t="s">
        <v>234</v>
      </c>
      <c r="O124" s="148"/>
      <c r="P124" s="366" t="s">
        <v>299</v>
      </c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</row>
    <row r="125" spans="1:44" ht="13.5" thickBot="1" x14ac:dyDescent="0.25">
      <c r="A125" s="156" t="s">
        <v>260</v>
      </c>
      <c r="B125" s="123"/>
      <c r="C125" s="123"/>
      <c r="D125" s="123"/>
      <c r="E125" s="123"/>
      <c r="F125" s="123"/>
      <c r="G125" s="123"/>
      <c r="H125" s="123"/>
      <c r="I125" s="123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</row>
    <row r="126" spans="1:44" x14ac:dyDescent="0.2">
      <c r="A126" s="148"/>
      <c r="B126" s="148" t="s">
        <v>252</v>
      </c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</row>
    <row r="127" spans="1:44" x14ac:dyDescent="0.2">
      <c r="A127" s="110" t="s">
        <v>256</v>
      </c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0" t="s">
        <v>253</v>
      </c>
      <c r="P127" s="112" t="s">
        <v>254</v>
      </c>
      <c r="Q127" s="110" t="s">
        <v>255</v>
      </c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</row>
    <row r="128" spans="1:44" x14ac:dyDescent="0.2">
      <c r="A128" s="110">
        <v>-125</v>
      </c>
      <c r="B128" s="347"/>
      <c r="C128" s="347" t="s">
        <v>67</v>
      </c>
      <c r="D128" s="348"/>
      <c r="E128" s="348"/>
      <c r="F128" s="348"/>
      <c r="G128" s="348"/>
      <c r="H128" s="348"/>
      <c r="I128" s="348"/>
      <c r="J128" s="348"/>
      <c r="K128" s="348"/>
      <c r="L128" s="348"/>
      <c r="M128" s="348"/>
      <c r="N128" s="348"/>
      <c r="O128" s="113">
        <f>SUM(B128:N128)</f>
        <v>0</v>
      </c>
      <c r="P128" s="349"/>
      <c r="Q128" s="113">
        <f>O128-P128</f>
        <v>0</v>
      </c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</row>
    <row r="129" spans="1:44" x14ac:dyDescent="0.2">
      <c r="A129" s="110">
        <v>-200</v>
      </c>
      <c r="B129" s="348"/>
      <c r="C129" s="348"/>
      <c r="D129" s="348"/>
      <c r="E129" s="348"/>
      <c r="F129" s="348"/>
      <c r="G129" s="348"/>
      <c r="H129" s="348"/>
      <c r="I129" s="348"/>
      <c r="J129" s="348"/>
      <c r="K129" s="348"/>
      <c r="L129" s="348"/>
      <c r="M129" s="348"/>
      <c r="N129" s="348"/>
      <c r="O129" s="113">
        <f t="shared" ref="O129:O137" si="16">SUM(B129:N129)</f>
        <v>0</v>
      </c>
      <c r="P129" s="349"/>
      <c r="Q129" s="113">
        <f t="shared" ref="Q129:Q137" si="17">O129-P129</f>
        <v>0</v>
      </c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</row>
    <row r="130" spans="1:44" x14ac:dyDescent="0.2">
      <c r="A130" s="110">
        <v>250</v>
      </c>
      <c r="B130" s="348"/>
      <c r="C130" s="348"/>
      <c r="D130" s="348"/>
      <c r="E130" s="348"/>
      <c r="F130" s="348"/>
      <c r="G130" s="348"/>
      <c r="H130" s="348"/>
      <c r="I130" s="348"/>
      <c r="J130" s="348"/>
      <c r="K130" s="348"/>
      <c r="L130" s="348"/>
      <c r="M130" s="348"/>
      <c r="N130" s="348"/>
      <c r="O130" s="113">
        <f t="shared" si="16"/>
        <v>0</v>
      </c>
      <c r="P130" s="349"/>
      <c r="Q130" s="113">
        <f t="shared" si="17"/>
        <v>0</v>
      </c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</row>
    <row r="131" spans="1:44" x14ac:dyDescent="0.2">
      <c r="A131" s="110">
        <v>315</v>
      </c>
      <c r="B131" s="348"/>
      <c r="C131" s="348"/>
      <c r="D131" s="348"/>
      <c r="E131" s="348"/>
      <c r="F131" s="348"/>
      <c r="G131" s="348"/>
      <c r="H131" s="348"/>
      <c r="I131" s="348"/>
      <c r="J131" s="348"/>
      <c r="K131" s="348"/>
      <c r="L131" s="348"/>
      <c r="M131" s="348"/>
      <c r="N131" s="348"/>
      <c r="O131" s="113">
        <f t="shared" si="16"/>
        <v>0</v>
      </c>
      <c r="P131" s="349"/>
      <c r="Q131" s="113">
        <f t="shared" si="17"/>
        <v>0</v>
      </c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</row>
    <row r="132" spans="1:44" x14ac:dyDescent="0.2">
      <c r="A132" s="110">
        <v>400</v>
      </c>
      <c r="B132" s="348"/>
      <c r="C132" s="348"/>
      <c r="D132" s="348"/>
      <c r="E132" s="348"/>
      <c r="F132" s="348"/>
      <c r="G132" s="348"/>
      <c r="H132" s="348"/>
      <c r="I132" s="348"/>
      <c r="J132" s="348"/>
      <c r="K132" s="348"/>
      <c r="L132" s="348"/>
      <c r="M132" s="348"/>
      <c r="N132" s="348"/>
      <c r="O132" s="113">
        <f t="shared" si="16"/>
        <v>0</v>
      </c>
      <c r="P132" s="349"/>
      <c r="Q132" s="113">
        <f t="shared" si="17"/>
        <v>0</v>
      </c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</row>
    <row r="133" spans="1:44" x14ac:dyDescent="0.2">
      <c r="A133" s="110">
        <v>500</v>
      </c>
      <c r="B133" s="348"/>
      <c r="C133" s="348"/>
      <c r="D133" s="348"/>
      <c r="E133" s="348"/>
      <c r="F133" s="348"/>
      <c r="G133" s="348"/>
      <c r="H133" s="348"/>
      <c r="I133" s="348"/>
      <c r="J133" s="348"/>
      <c r="K133" s="348"/>
      <c r="L133" s="348"/>
      <c r="M133" s="348"/>
      <c r="N133" s="348"/>
      <c r="O133" s="113">
        <f t="shared" si="16"/>
        <v>0</v>
      </c>
      <c r="P133" s="349"/>
      <c r="Q133" s="113">
        <f t="shared" si="17"/>
        <v>0</v>
      </c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</row>
    <row r="134" spans="1:44" x14ac:dyDescent="0.2">
      <c r="A134" s="110">
        <v>630</v>
      </c>
      <c r="B134" s="348"/>
      <c r="C134" s="348"/>
      <c r="D134" s="348"/>
      <c r="E134" s="348"/>
      <c r="F134" s="348"/>
      <c r="G134" s="348"/>
      <c r="H134" s="348"/>
      <c r="I134" s="348"/>
      <c r="J134" s="348"/>
      <c r="K134" s="348"/>
      <c r="L134" s="348"/>
      <c r="M134" s="348"/>
      <c r="N134" s="348"/>
      <c r="O134" s="113">
        <f t="shared" si="16"/>
        <v>0</v>
      </c>
      <c r="P134" s="349"/>
      <c r="Q134" s="113">
        <f t="shared" si="17"/>
        <v>0</v>
      </c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</row>
    <row r="135" spans="1:44" x14ac:dyDescent="0.2">
      <c r="A135" s="110">
        <v>800</v>
      </c>
      <c r="B135" s="348"/>
      <c r="C135" s="348"/>
      <c r="D135" s="348"/>
      <c r="E135" s="348"/>
      <c r="F135" s="348"/>
      <c r="G135" s="348"/>
      <c r="H135" s="348"/>
      <c r="I135" s="348"/>
      <c r="J135" s="348"/>
      <c r="K135" s="348"/>
      <c r="L135" s="348"/>
      <c r="M135" s="348"/>
      <c r="N135" s="348"/>
      <c r="O135" s="113">
        <f t="shared" si="16"/>
        <v>0</v>
      </c>
      <c r="P135" s="349"/>
      <c r="Q135" s="113">
        <f t="shared" si="17"/>
        <v>0</v>
      </c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</row>
    <row r="136" spans="1:44" x14ac:dyDescent="0.2">
      <c r="A136" s="110">
        <v>1000</v>
      </c>
      <c r="B136" s="348"/>
      <c r="C136" s="348"/>
      <c r="D136" s="348"/>
      <c r="E136" s="348"/>
      <c r="F136" s="348"/>
      <c r="G136" s="348"/>
      <c r="H136" s="348"/>
      <c r="I136" s="348"/>
      <c r="J136" s="348"/>
      <c r="K136" s="348"/>
      <c r="L136" s="348"/>
      <c r="M136" s="348"/>
      <c r="N136" s="348"/>
      <c r="O136" s="113">
        <f t="shared" si="16"/>
        <v>0</v>
      </c>
      <c r="P136" s="349"/>
      <c r="Q136" s="113">
        <f t="shared" si="17"/>
        <v>0</v>
      </c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</row>
    <row r="137" spans="1:44" x14ac:dyDescent="0.2">
      <c r="A137" s="110">
        <v>1250</v>
      </c>
      <c r="B137" s="348"/>
      <c r="C137" s="348"/>
      <c r="D137" s="348"/>
      <c r="E137" s="348"/>
      <c r="F137" s="348"/>
      <c r="G137" s="348"/>
      <c r="H137" s="348"/>
      <c r="I137" s="348"/>
      <c r="J137" s="348"/>
      <c r="K137" s="348"/>
      <c r="L137" s="348"/>
      <c r="M137" s="348"/>
      <c r="N137" s="348"/>
      <c r="O137" s="113">
        <f t="shared" si="16"/>
        <v>0</v>
      </c>
      <c r="P137" s="349"/>
      <c r="Q137" s="113">
        <f t="shared" si="17"/>
        <v>0</v>
      </c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</row>
    <row r="138" spans="1:44" x14ac:dyDescent="0.2">
      <c r="A138" s="148"/>
      <c r="B138" s="148"/>
      <c r="C138" s="148"/>
      <c r="D138" s="148"/>
      <c r="E138" s="148"/>
      <c r="F138" s="148"/>
      <c r="G138" s="148"/>
      <c r="H138" s="148"/>
      <c r="I138" s="148"/>
      <c r="J138" s="120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</row>
    <row r="139" spans="1:44" x14ac:dyDescent="0.2">
      <c r="A139" s="148"/>
      <c r="B139" s="148"/>
      <c r="C139" s="148"/>
      <c r="D139" s="148"/>
      <c r="E139" s="148"/>
      <c r="F139" s="148"/>
      <c r="G139" s="148"/>
      <c r="H139" s="148"/>
      <c r="I139" s="148"/>
      <c r="J139" s="120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</row>
    <row r="140" spans="1:44" ht="13.5" thickBot="1" x14ac:dyDescent="0.25">
      <c r="A140" s="156" t="s">
        <v>449</v>
      </c>
      <c r="B140" s="123"/>
      <c r="C140" s="123"/>
      <c r="D140" s="123"/>
      <c r="E140" s="123"/>
      <c r="F140" s="123"/>
      <c r="G140" s="123"/>
      <c r="H140" s="123"/>
      <c r="I140" s="123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</row>
    <row r="141" spans="1:44" x14ac:dyDescent="0.2">
      <c r="A141" s="148"/>
      <c r="B141" s="148" t="s">
        <v>252</v>
      </c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</row>
    <row r="142" spans="1:44" x14ac:dyDescent="0.2">
      <c r="A142" s="110" t="s">
        <v>256</v>
      </c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0" t="s">
        <v>253</v>
      </c>
      <c r="P142" s="112" t="s">
        <v>254</v>
      </c>
      <c r="Q142" s="110" t="s">
        <v>255</v>
      </c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</row>
    <row r="143" spans="1:44" x14ac:dyDescent="0.2">
      <c r="A143" s="110">
        <v>-125</v>
      </c>
      <c r="B143" s="347"/>
      <c r="C143" s="347" t="s">
        <v>67</v>
      </c>
      <c r="D143" s="348"/>
      <c r="E143" s="348"/>
      <c r="F143" s="348"/>
      <c r="G143" s="348"/>
      <c r="H143" s="348"/>
      <c r="I143" s="348"/>
      <c r="J143" s="348"/>
      <c r="K143" s="348"/>
      <c r="L143" s="348"/>
      <c r="M143" s="348"/>
      <c r="N143" s="348"/>
      <c r="O143" s="113">
        <f>SUM(B143:N143)</f>
        <v>0</v>
      </c>
      <c r="P143" s="349"/>
      <c r="Q143" s="113">
        <f>O143-P143</f>
        <v>0</v>
      </c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</row>
    <row r="144" spans="1:44" x14ac:dyDescent="0.2">
      <c r="A144" s="110">
        <v>-200</v>
      </c>
      <c r="B144" s="348"/>
      <c r="C144" s="348"/>
      <c r="D144" s="348"/>
      <c r="E144" s="348"/>
      <c r="F144" s="348"/>
      <c r="G144" s="348"/>
      <c r="H144" s="348"/>
      <c r="I144" s="348"/>
      <c r="J144" s="348"/>
      <c r="K144" s="348"/>
      <c r="L144" s="348"/>
      <c r="M144" s="348"/>
      <c r="N144" s="348"/>
      <c r="O144" s="113">
        <f t="shared" ref="O144:O152" si="18">SUM(B144:N144)</f>
        <v>0</v>
      </c>
      <c r="P144" s="349"/>
      <c r="Q144" s="113">
        <f t="shared" ref="Q144:Q152" si="19">O144-P144</f>
        <v>0</v>
      </c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</row>
    <row r="145" spans="1:44" x14ac:dyDescent="0.2">
      <c r="A145" s="110">
        <v>250</v>
      </c>
      <c r="B145" s="348"/>
      <c r="C145" s="348"/>
      <c r="D145" s="348"/>
      <c r="E145" s="348"/>
      <c r="F145" s="348"/>
      <c r="G145" s="348"/>
      <c r="H145" s="348"/>
      <c r="I145" s="348"/>
      <c r="J145" s="348"/>
      <c r="K145" s="348"/>
      <c r="L145" s="348"/>
      <c r="M145" s="348"/>
      <c r="N145" s="348"/>
      <c r="O145" s="113">
        <f t="shared" si="18"/>
        <v>0</v>
      </c>
      <c r="P145" s="349"/>
      <c r="Q145" s="113">
        <f t="shared" si="19"/>
        <v>0</v>
      </c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</row>
    <row r="146" spans="1:44" x14ac:dyDescent="0.2">
      <c r="A146" s="110">
        <v>315</v>
      </c>
      <c r="B146" s="348"/>
      <c r="C146" s="348"/>
      <c r="D146" s="348"/>
      <c r="E146" s="348"/>
      <c r="F146" s="348"/>
      <c r="G146" s="348"/>
      <c r="H146" s="348"/>
      <c r="I146" s="348"/>
      <c r="J146" s="348"/>
      <c r="K146" s="348"/>
      <c r="L146" s="348"/>
      <c r="M146" s="348"/>
      <c r="N146" s="348"/>
      <c r="O146" s="113">
        <f t="shared" si="18"/>
        <v>0</v>
      </c>
      <c r="P146" s="349"/>
      <c r="Q146" s="113">
        <f t="shared" si="19"/>
        <v>0</v>
      </c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</row>
    <row r="147" spans="1:44" x14ac:dyDescent="0.2">
      <c r="A147" s="110">
        <v>400</v>
      </c>
      <c r="B147" s="348"/>
      <c r="C147" s="348"/>
      <c r="D147" s="348"/>
      <c r="E147" s="348"/>
      <c r="F147" s="348"/>
      <c r="G147" s="348"/>
      <c r="H147" s="348"/>
      <c r="I147" s="348"/>
      <c r="J147" s="348"/>
      <c r="K147" s="348"/>
      <c r="L147" s="348"/>
      <c r="M147" s="348"/>
      <c r="N147" s="348"/>
      <c r="O147" s="113">
        <f t="shared" si="18"/>
        <v>0</v>
      </c>
      <c r="P147" s="349"/>
      <c r="Q147" s="113">
        <f t="shared" si="19"/>
        <v>0</v>
      </c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</row>
    <row r="148" spans="1:44" x14ac:dyDescent="0.2">
      <c r="A148" s="110">
        <v>500</v>
      </c>
      <c r="B148" s="348"/>
      <c r="C148" s="348"/>
      <c r="D148" s="348"/>
      <c r="E148" s="348"/>
      <c r="F148" s="348"/>
      <c r="G148" s="348"/>
      <c r="H148" s="348"/>
      <c r="I148" s="348"/>
      <c r="J148" s="348"/>
      <c r="K148" s="348"/>
      <c r="L148" s="348"/>
      <c r="M148" s="348"/>
      <c r="N148" s="348"/>
      <c r="O148" s="113">
        <f t="shared" si="18"/>
        <v>0</v>
      </c>
      <c r="P148" s="349"/>
      <c r="Q148" s="113">
        <f t="shared" si="19"/>
        <v>0</v>
      </c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</row>
    <row r="149" spans="1:44" x14ac:dyDescent="0.2">
      <c r="A149" s="110">
        <v>630</v>
      </c>
      <c r="B149" s="348"/>
      <c r="C149" s="348"/>
      <c r="D149" s="348"/>
      <c r="E149" s="348"/>
      <c r="F149" s="350"/>
      <c r="G149" s="348"/>
      <c r="H149" s="348"/>
      <c r="I149" s="348"/>
      <c r="J149" s="348"/>
      <c r="K149" s="348"/>
      <c r="L149" s="348"/>
      <c r="M149" s="348"/>
      <c r="N149" s="348"/>
      <c r="O149" s="113">
        <f t="shared" si="18"/>
        <v>0</v>
      </c>
      <c r="P149" s="349"/>
      <c r="Q149" s="113">
        <f t="shared" si="19"/>
        <v>0</v>
      </c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</row>
    <row r="150" spans="1:44" x14ac:dyDescent="0.2">
      <c r="A150" s="110">
        <v>800</v>
      </c>
      <c r="B150" s="348"/>
      <c r="C150" s="348"/>
      <c r="D150" s="348"/>
      <c r="E150" s="348"/>
      <c r="F150" s="348"/>
      <c r="G150" s="348"/>
      <c r="H150" s="348"/>
      <c r="I150" s="348"/>
      <c r="J150" s="348"/>
      <c r="K150" s="348"/>
      <c r="L150" s="348"/>
      <c r="M150" s="348"/>
      <c r="N150" s="348"/>
      <c r="O150" s="113">
        <f t="shared" si="18"/>
        <v>0</v>
      </c>
      <c r="P150" s="349"/>
      <c r="Q150" s="113">
        <f t="shared" si="19"/>
        <v>0</v>
      </c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</row>
    <row r="151" spans="1:44" x14ac:dyDescent="0.2">
      <c r="A151" s="110">
        <v>1000</v>
      </c>
      <c r="B151" s="348"/>
      <c r="C151" s="348"/>
      <c r="D151" s="348"/>
      <c r="E151" s="348"/>
      <c r="F151" s="348"/>
      <c r="G151" s="348"/>
      <c r="H151" s="348"/>
      <c r="I151" s="348"/>
      <c r="J151" s="348"/>
      <c r="K151" s="348"/>
      <c r="L151" s="348"/>
      <c r="M151" s="348"/>
      <c r="N151" s="348"/>
      <c r="O151" s="113">
        <f t="shared" si="18"/>
        <v>0</v>
      </c>
      <c r="P151" s="349"/>
      <c r="Q151" s="113">
        <f t="shared" si="19"/>
        <v>0</v>
      </c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</row>
    <row r="152" spans="1:44" x14ac:dyDescent="0.2">
      <c r="A152" s="110">
        <v>1250</v>
      </c>
      <c r="B152" s="348"/>
      <c r="C152" s="348"/>
      <c r="D152" s="348"/>
      <c r="E152" s="348"/>
      <c r="F152" s="348"/>
      <c r="G152" s="348"/>
      <c r="H152" s="348"/>
      <c r="I152" s="348"/>
      <c r="J152" s="348"/>
      <c r="K152" s="348"/>
      <c r="L152" s="348"/>
      <c r="M152" s="348"/>
      <c r="N152" s="348"/>
      <c r="O152" s="113">
        <f t="shared" si="18"/>
        <v>0</v>
      </c>
      <c r="P152" s="349"/>
      <c r="Q152" s="113">
        <f t="shared" si="19"/>
        <v>0</v>
      </c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</row>
    <row r="153" spans="1:44" x14ac:dyDescent="0.2">
      <c r="A153" s="148"/>
      <c r="B153" s="148"/>
      <c r="C153" s="148"/>
      <c r="D153" s="148"/>
      <c r="E153" s="148"/>
      <c r="F153" s="148"/>
      <c r="G153" s="148"/>
      <c r="H153" s="148"/>
      <c r="I153" s="148"/>
      <c r="J153" s="120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</row>
    <row r="154" spans="1:44" x14ac:dyDescent="0.2">
      <c r="A154" s="148"/>
      <c r="B154" s="148"/>
      <c r="C154" s="148"/>
      <c r="D154" s="148"/>
      <c r="E154" s="148"/>
      <c r="F154" s="148"/>
      <c r="G154" s="148"/>
      <c r="H154" s="148"/>
      <c r="I154" s="148"/>
      <c r="J154" s="120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</row>
    <row r="155" spans="1:44" x14ac:dyDescent="0.2">
      <c r="A155" s="733" t="s">
        <v>514</v>
      </c>
      <c r="B155" s="717"/>
      <c r="C155" s="717"/>
      <c r="D155" s="717"/>
      <c r="E155" s="717"/>
      <c r="F155" s="717"/>
      <c r="G155" s="717"/>
      <c r="H155" s="717"/>
      <c r="I155" s="717"/>
      <c r="J155" s="717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</row>
    <row r="156" spans="1:44" x14ac:dyDescent="0.2">
      <c r="B156" s="148" t="s">
        <v>252</v>
      </c>
      <c r="C156" s="148"/>
      <c r="D156" s="148"/>
      <c r="E156" s="148"/>
      <c r="F156" s="148"/>
      <c r="G156" s="148"/>
      <c r="H156" s="148"/>
      <c r="I156" s="148"/>
      <c r="J156" s="120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</row>
    <row r="157" spans="1:44" x14ac:dyDescent="0.2">
      <c r="A157" s="148"/>
      <c r="B157" s="734"/>
      <c r="C157" s="734"/>
      <c r="D157" s="734"/>
      <c r="E157" s="734"/>
      <c r="F157" s="734"/>
      <c r="G157" s="734"/>
      <c r="H157" s="734"/>
      <c r="I157" s="734"/>
      <c r="J157" s="734"/>
      <c r="K157" s="734"/>
      <c r="L157" s="734"/>
      <c r="M157" s="734"/>
      <c r="N157" s="734"/>
      <c r="O157" s="734"/>
      <c r="P157" s="734"/>
      <c r="Q157" s="391" t="s">
        <v>253</v>
      </c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</row>
    <row r="158" spans="1:44" x14ac:dyDescent="0.2">
      <c r="A158" s="735" t="s">
        <v>158</v>
      </c>
      <c r="B158" s="739"/>
      <c r="C158" s="739"/>
      <c r="D158" s="739"/>
      <c r="E158" s="739"/>
      <c r="F158" s="739"/>
      <c r="G158" s="739"/>
      <c r="H158" s="739"/>
      <c r="I158" s="739"/>
      <c r="J158" s="739"/>
      <c r="K158" s="739"/>
      <c r="L158" s="739"/>
      <c r="M158" s="739"/>
      <c r="N158" s="739"/>
      <c r="O158" s="739"/>
      <c r="P158" s="739"/>
      <c r="Q158" s="732">
        <f>SUM(B158:P158)</f>
        <v>0</v>
      </c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</row>
    <row r="159" spans="1:44" x14ac:dyDescent="0.2">
      <c r="A159" s="148"/>
      <c r="B159" s="148"/>
      <c r="C159" s="148"/>
      <c r="D159" s="148"/>
      <c r="E159" s="148"/>
      <c r="F159" s="148"/>
      <c r="G159" s="148"/>
      <c r="H159" s="148"/>
      <c r="I159" s="148"/>
      <c r="J159" s="120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</row>
    <row r="160" spans="1:44" x14ac:dyDescent="0.2">
      <c r="A160" s="148"/>
      <c r="B160" s="148"/>
      <c r="C160" s="148"/>
      <c r="D160" s="148"/>
      <c r="E160" s="148"/>
      <c r="F160" s="148"/>
      <c r="G160" s="148"/>
      <c r="H160" s="148"/>
      <c r="I160" s="148"/>
      <c r="J160" s="120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</row>
    <row r="161" spans="1:44" ht="13.5" customHeight="1" thickBot="1" x14ac:dyDescent="0.25">
      <c r="A161" s="156" t="s">
        <v>263</v>
      </c>
      <c r="B161" s="123"/>
      <c r="C161" s="123"/>
      <c r="D161" s="123"/>
      <c r="E161" s="123"/>
      <c r="F161" s="123"/>
      <c r="G161" s="123"/>
      <c r="H161" s="123"/>
      <c r="I161" s="123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</row>
    <row r="162" spans="1:44" x14ac:dyDescent="0.2">
      <c r="A162" s="148"/>
      <c r="B162" s="163"/>
      <c r="C162" s="163" t="s">
        <v>252</v>
      </c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</row>
    <row r="163" spans="1:44" x14ac:dyDescent="0.2">
      <c r="A163" s="110" t="s">
        <v>256</v>
      </c>
      <c r="B163" s="115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0" t="s">
        <v>253</v>
      </c>
      <c r="P163" s="112" t="s">
        <v>254</v>
      </c>
      <c r="Q163" s="110" t="s">
        <v>255</v>
      </c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</row>
    <row r="164" spans="1:44" x14ac:dyDescent="0.2">
      <c r="A164" s="411" t="s">
        <v>265</v>
      </c>
      <c r="B164" s="412"/>
      <c r="C164" s="413"/>
      <c r="D164" s="413"/>
      <c r="E164" s="413"/>
      <c r="F164" s="413"/>
      <c r="G164" s="413"/>
      <c r="H164" s="413"/>
      <c r="I164" s="413"/>
      <c r="J164" s="413"/>
      <c r="K164" s="413"/>
      <c r="L164" s="413"/>
      <c r="M164" s="413"/>
      <c r="N164" s="413"/>
      <c r="O164" s="414"/>
      <c r="P164" s="415"/>
      <c r="Q164" s="414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</row>
    <row r="165" spans="1:44" x14ac:dyDescent="0.2">
      <c r="A165" s="110">
        <v>-400</v>
      </c>
      <c r="B165" s="114"/>
      <c r="C165" s="347"/>
      <c r="D165" s="348"/>
      <c r="E165" s="348"/>
      <c r="F165" s="348"/>
      <c r="G165" s="348"/>
      <c r="H165" s="348"/>
      <c r="I165" s="348"/>
      <c r="J165" s="348"/>
      <c r="K165" s="348"/>
      <c r="L165" s="348"/>
      <c r="M165" s="348"/>
      <c r="N165" s="348"/>
      <c r="O165" s="113">
        <f>SUM(B165:N165)</f>
        <v>0</v>
      </c>
      <c r="P165" s="349"/>
      <c r="Q165" s="113">
        <f>O165-P165</f>
        <v>0</v>
      </c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</row>
    <row r="166" spans="1:44" x14ac:dyDescent="0.2">
      <c r="A166" s="380" t="s">
        <v>392</v>
      </c>
      <c r="B166" s="114"/>
      <c r="C166" s="347"/>
      <c r="D166" s="348"/>
      <c r="E166" s="348"/>
      <c r="F166" s="348"/>
      <c r="G166" s="348"/>
      <c r="H166" s="348"/>
      <c r="I166" s="348"/>
      <c r="J166" s="348"/>
      <c r="K166" s="348"/>
      <c r="L166" s="348"/>
      <c r="M166" s="348"/>
      <c r="N166" s="348"/>
      <c r="O166" s="113">
        <f>SUM(B166:N166)</f>
        <v>0</v>
      </c>
      <c r="P166" s="349"/>
      <c r="Q166" s="113">
        <f>O166-P166</f>
        <v>0</v>
      </c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</row>
    <row r="167" spans="1:44" x14ac:dyDescent="0.2">
      <c r="A167" s="116" t="s">
        <v>264</v>
      </c>
      <c r="B167" s="117"/>
      <c r="C167" s="351"/>
      <c r="D167" s="351"/>
      <c r="E167" s="351"/>
      <c r="F167" s="351"/>
      <c r="G167" s="351"/>
      <c r="H167" s="351"/>
      <c r="I167" s="351"/>
      <c r="J167" s="351"/>
      <c r="K167" s="351"/>
      <c r="L167" s="351"/>
      <c r="M167" s="351"/>
      <c r="N167" s="351"/>
      <c r="O167" s="113"/>
      <c r="P167" s="352"/>
      <c r="Q167" s="113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</row>
    <row r="168" spans="1:44" x14ac:dyDescent="0.2">
      <c r="A168" s="110">
        <v>-400</v>
      </c>
      <c r="B168" s="114"/>
      <c r="C168" s="347"/>
      <c r="D168" s="348"/>
      <c r="E168" s="348"/>
      <c r="F168" s="348"/>
      <c r="G168" s="348"/>
      <c r="H168" s="348"/>
      <c r="I168" s="348"/>
      <c r="J168" s="348"/>
      <c r="K168" s="348"/>
      <c r="L168" s="348"/>
      <c r="M168" s="348"/>
      <c r="N168" s="348"/>
      <c r="O168" s="113">
        <f>SUM(B168:N168)</f>
        <v>0</v>
      </c>
      <c r="P168" s="349"/>
      <c r="Q168" s="113">
        <f>O168-P168</f>
        <v>0</v>
      </c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</row>
    <row r="169" spans="1:44" x14ac:dyDescent="0.2">
      <c r="A169" s="380" t="s">
        <v>392</v>
      </c>
      <c r="B169" s="114"/>
      <c r="C169" s="347"/>
      <c r="D169" s="348"/>
      <c r="E169" s="348"/>
      <c r="F169" s="348"/>
      <c r="G169" s="348"/>
      <c r="H169" s="348"/>
      <c r="I169" s="348"/>
      <c r="J169" s="348"/>
      <c r="K169" s="348"/>
      <c r="L169" s="348"/>
      <c r="M169" s="348"/>
      <c r="N169" s="348"/>
      <c r="O169" s="113">
        <f>SUM(B169:N169)</f>
        <v>0</v>
      </c>
      <c r="P169" s="349"/>
      <c r="Q169" s="113">
        <f>O169-P169</f>
        <v>0</v>
      </c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</row>
    <row r="170" spans="1:44" ht="10.5" customHeight="1" x14ac:dyDescent="0.2">
      <c r="A170" s="148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</row>
    <row r="171" spans="1:44" ht="13.5" customHeight="1" thickBot="1" x14ac:dyDescent="0.25">
      <c r="A171" s="156" t="s">
        <v>268</v>
      </c>
      <c r="B171" s="123"/>
      <c r="C171" s="123"/>
      <c r="D171" s="123"/>
      <c r="E171" s="123"/>
      <c r="F171" s="123"/>
      <c r="G171" s="120"/>
      <c r="H171" s="120"/>
      <c r="I171" s="120"/>
      <c r="J171" s="148"/>
      <c r="K171" s="148"/>
      <c r="L171" s="148"/>
      <c r="M171" s="148"/>
      <c r="N171" s="366" t="s">
        <v>234</v>
      </c>
      <c r="O171" s="338"/>
      <c r="P171" s="366" t="s">
        <v>299</v>
      </c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</row>
    <row r="172" spans="1:44" x14ac:dyDescent="0.2">
      <c r="A172" s="148"/>
      <c r="B172" s="148" t="s">
        <v>252</v>
      </c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</row>
    <row r="173" spans="1:44" x14ac:dyDescent="0.2">
      <c r="A173" s="118" t="s">
        <v>45</v>
      </c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0" t="s">
        <v>253</v>
      </c>
      <c r="P173" s="112" t="s">
        <v>254</v>
      </c>
      <c r="Q173" s="110" t="s">
        <v>255</v>
      </c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</row>
    <row r="174" spans="1:44" x14ac:dyDescent="0.2">
      <c r="A174" s="110">
        <v>-125</v>
      </c>
      <c r="B174" s="347"/>
      <c r="C174" s="348"/>
      <c r="D174" s="348"/>
      <c r="E174" s="348"/>
      <c r="F174" s="348"/>
      <c r="G174" s="348"/>
      <c r="H174" s="348"/>
      <c r="I174" s="348"/>
      <c r="J174" s="348"/>
      <c r="K174" s="348"/>
      <c r="L174" s="348"/>
      <c r="M174" s="348"/>
      <c r="N174" s="348"/>
      <c r="O174" s="113">
        <f>SUM(B174:N174)</f>
        <v>0</v>
      </c>
      <c r="P174" s="349"/>
      <c r="Q174" s="113">
        <f>O174-P174</f>
        <v>0</v>
      </c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</row>
    <row r="175" spans="1:44" x14ac:dyDescent="0.2">
      <c r="A175" s="110">
        <v>-200</v>
      </c>
      <c r="B175" s="347"/>
      <c r="C175" s="348"/>
      <c r="D175" s="348"/>
      <c r="E175" s="348"/>
      <c r="F175" s="348"/>
      <c r="G175" s="348"/>
      <c r="H175" s="348"/>
      <c r="I175" s="348"/>
      <c r="J175" s="348"/>
      <c r="K175" s="348"/>
      <c r="L175" s="348"/>
      <c r="M175" s="348"/>
      <c r="N175" s="348"/>
      <c r="O175" s="113">
        <f>SUM(B175:N175)</f>
        <v>0</v>
      </c>
      <c r="P175" s="349"/>
      <c r="Q175" s="113">
        <f>O175-P175</f>
        <v>0</v>
      </c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</row>
    <row r="176" spans="1:44" x14ac:dyDescent="0.2">
      <c r="A176" s="110">
        <v>250</v>
      </c>
      <c r="B176" s="347"/>
      <c r="C176" s="348"/>
      <c r="D176" s="348"/>
      <c r="E176" s="348"/>
      <c r="F176" s="348"/>
      <c r="G176" s="348"/>
      <c r="H176" s="348"/>
      <c r="I176" s="348"/>
      <c r="J176" s="348"/>
      <c r="K176" s="348"/>
      <c r="L176" s="348"/>
      <c r="M176" s="348"/>
      <c r="N176" s="348"/>
      <c r="O176" s="113">
        <f>SUM(B176:N176)</f>
        <v>0</v>
      </c>
      <c r="P176" s="349"/>
      <c r="Q176" s="113">
        <f>O176-P176</f>
        <v>0</v>
      </c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</row>
    <row r="177" spans="1:44" x14ac:dyDescent="0.2">
      <c r="A177" s="110">
        <v>315</v>
      </c>
      <c r="B177" s="347"/>
      <c r="C177" s="348"/>
      <c r="D177" s="348"/>
      <c r="E177" s="348"/>
      <c r="F177" s="348"/>
      <c r="G177" s="348"/>
      <c r="H177" s="348"/>
      <c r="I177" s="348"/>
      <c r="J177" s="348"/>
      <c r="K177" s="348"/>
      <c r="L177" s="348"/>
      <c r="M177" s="348"/>
      <c r="N177" s="348"/>
      <c r="O177" s="113">
        <f>SUM(B177:N177)</f>
        <v>0</v>
      </c>
      <c r="P177" s="349"/>
      <c r="Q177" s="113">
        <f>O177-P177</f>
        <v>0</v>
      </c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</row>
    <row r="178" spans="1:44" ht="10.5" customHeight="1" x14ac:dyDescent="0.2">
      <c r="A178" s="148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</row>
    <row r="179" spans="1:44" ht="12" customHeight="1" thickBot="1" x14ac:dyDescent="0.25">
      <c r="A179" s="156" t="s">
        <v>267</v>
      </c>
      <c r="B179" s="123"/>
      <c r="C179" s="123"/>
      <c r="D179" s="123"/>
      <c r="E179" s="123"/>
      <c r="F179" s="123"/>
      <c r="G179" s="123"/>
      <c r="H179" s="120"/>
      <c r="I179" s="120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</row>
    <row r="180" spans="1:44" x14ac:dyDescent="0.2">
      <c r="A180" s="148"/>
      <c r="B180" s="148" t="s">
        <v>252</v>
      </c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</row>
    <row r="181" spans="1:44" x14ac:dyDescent="0.2">
      <c r="A181" s="118" t="s">
        <v>45</v>
      </c>
      <c r="B181" s="124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0" t="s">
        <v>253</v>
      </c>
      <c r="P181" s="112" t="s">
        <v>254</v>
      </c>
      <c r="Q181" s="110" t="s">
        <v>255</v>
      </c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</row>
    <row r="182" spans="1:44" x14ac:dyDescent="0.2">
      <c r="A182" s="839" t="s">
        <v>512</v>
      </c>
      <c r="B182" s="840"/>
      <c r="C182" s="353"/>
      <c r="D182" s="348"/>
      <c r="E182" s="348"/>
      <c r="F182" s="348"/>
      <c r="G182" s="348"/>
      <c r="H182" s="348"/>
      <c r="I182" s="348"/>
      <c r="J182" s="348"/>
      <c r="K182" s="348"/>
      <c r="L182" s="348"/>
      <c r="M182" s="348"/>
      <c r="N182" s="348"/>
      <c r="O182" s="113">
        <f>SUM(B182:N182)</f>
        <v>0</v>
      </c>
      <c r="P182" s="349"/>
      <c r="Q182" s="113">
        <f>O182-P182</f>
        <v>0</v>
      </c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</row>
    <row r="183" spans="1:44" x14ac:dyDescent="0.2">
      <c r="A183" s="119" t="s">
        <v>135</v>
      </c>
      <c r="B183" s="125"/>
      <c r="C183" s="347"/>
      <c r="D183" s="348"/>
      <c r="E183" s="348"/>
      <c r="F183" s="348"/>
      <c r="G183" s="348"/>
      <c r="H183" s="348"/>
      <c r="I183" s="348"/>
      <c r="J183" s="348"/>
      <c r="K183" s="348"/>
      <c r="L183" s="348"/>
      <c r="M183" s="348"/>
      <c r="N183" s="348"/>
      <c r="O183" s="113">
        <f t="shared" ref="O183:O190" si="20">SUM(B183:N183)</f>
        <v>0</v>
      </c>
      <c r="P183" s="349"/>
      <c r="Q183" s="113">
        <f t="shared" ref="Q183:Q190" si="21">O183-P183</f>
        <v>0</v>
      </c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</row>
    <row r="184" spans="1:44" x14ac:dyDescent="0.2">
      <c r="A184" s="119" t="s">
        <v>124</v>
      </c>
      <c r="B184" s="114"/>
      <c r="C184" s="347"/>
      <c r="D184" s="348"/>
      <c r="E184" s="348"/>
      <c r="F184" s="348"/>
      <c r="G184" s="348"/>
      <c r="H184" s="348"/>
      <c r="I184" s="348"/>
      <c r="J184" s="348"/>
      <c r="K184" s="348"/>
      <c r="L184" s="348"/>
      <c r="M184" s="348"/>
      <c r="N184" s="348"/>
      <c r="O184" s="113">
        <f t="shared" si="20"/>
        <v>0</v>
      </c>
      <c r="P184" s="349"/>
      <c r="Q184" s="113">
        <f t="shared" si="21"/>
        <v>0</v>
      </c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</row>
    <row r="185" spans="1:44" x14ac:dyDescent="0.2">
      <c r="A185" s="119" t="s">
        <v>125</v>
      </c>
      <c r="B185" s="114"/>
      <c r="C185" s="347"/>
      <c r="D185" s="348"/>
      <c r="E185" s="348"/>
      <c r="F185" s="348"/>
      <c r="G185" s="348"/>
      <c r="H185" s="348"/>
      <c r="I185" s="348"/>
      <c r="J185" s="348"/>
      <c r="K185" s="348"/>
      <c r="L185" s="348"/>
      <c r="M185" s="348"/>
      <c r="N185" s="348"/>
      <c r="O185" s="113">
        <f t="shared" si="20"/>
        <v>0</v>
      </c>
      <c r="P185" s="349"/>
      <c r="Q185" s="113">
        <f t="shared" si="21"/>
        <v>0</v>
      </c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</row>
    <row r="186" spans="1:44" x14ac:dyDescent="0.2">
      <c r="A186" s="127" t="s">
        <v>126</v>
      </c>
      <c r="B186" s="114"/>
      <c r="C186" s="347"/>
      <c r="D186" s="348"/>
      <c r="E186" s="350"/>
      <c r="F186" s="348"/>
      <c r="G186" s="348"/>
      <c r="H186" s="348"/>
      <c r="I186" s="348"/>
      <c r="J186" s="348"/>
      <c r="K186" s="348"/>
      <c r="L186" s="348"/>
      <c r="M186" s="348"/>
      <c r="N186" s="348"/>
      <c r="O186" s="113">
        <f t="shared" si="20"/>
        <v>0</v>
      </c>
      <c r="P186" s="349"/>
      <c r="Q186" s="113">
        <f t="shared" si="21"/>
        <v>0</v>
      </c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</row>
    <row r="187" spans="1:44" x14ac:dyDescent="0.2">
      <c r="A187" s="128" t="s">
        <v>127</v>
      </c>
      <c r="B187" s="126"/>
      <c r="C187" s="347"/>
      <c r="D187" s="348"/>
      <c r="E187" s="348"/>
      <c r="F187" s="348"/>
      <c r="G187" s="348"/>
      <c r="H187" s="348"/>
      <c r="I187" s="348"/>
      <c r="J187" s="348"/>
      <c r="K187" s="348"/>
      <c r="L187" s="348"/>
      <c r="M187" s="348"/>
      <c r="N187" s="348"/>
      <c r="O187" s="113">
        <f t="shared" si="20"/>
        <v>0</v>
      </c>
      <c r="P187" s="349"/>
      <c r="Q187" s="113">
        <f t="shared" si="21"/>
        <v>0</v>
      </c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</row>
    <row r="188" spans="1:44" x14ac:dyDescent="0.2">
      <c r="A188" s="109" t="s">
        <v>128</v>
      </c>
      <c r="B188" s="126"/>
      <c r="C188" s="347"/>
      <c r="D188" s="348"/>
      <c r="E188" s="348"/>
      <c r="F188" s="348"/>
      <c r="G188" s="348"/>
      <c r="H188" s="348"/>
      <c r="I188" s="348"/>
      <c r="J188" s="348"/>
      <c r="K188" s="348"/>
      <c r="L188" s="348"/>
      <c r="M188" s="348"/>
      <c r="N188" s="348"/>
      <c r="O188" s="113">
        <f t="shared" si="20"/>
        <v>0</v>
      </c>
      <c r="P188" s="349"/>
      <c r="Q188" s="113">
        <f t="shared" si="21"/>
        <v>0</v>
      </c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</row>
    <row r="189" spans="1:44" x14ac:dyDescent="0.2">
      <c r="A189" s="837" t="s">
        <v>511</v>
      </c>
      <c r="B189" s="838"/>
      <c r="C189" s="347"/>
      <c r="D189" s="348"/>
      <c r="E189" s="348"/>
      <c r="F189" s="348"/>
      <c r="G189" s="348"/>
      <c r="H189" s="348"/>
      <c r="I189" s="348"/>
      <c r="J189" s="348"/>
      <c r="K189" s="348"/>
      <c r="L189" s="348"/>
      <c r="M189" s="348"/>
      <c r="N189" s="348"/>
      <c r="O189" s="113">
        <f t="shared" si="20"/>
        <v>0</v>
      </c>
      <c r="P189" s="349"/>
      <c r="Q189" s="113">
        <f t="shared" si="21"/>
        <v>0</v>
      </c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</row>
    <row r="190" spans="1:44" x14ac:dyDescent="0.2">
      <c r="A190" s="128" t="s">
        <v>510</v>
      </c>
      <c r="B190" s="126"/>
      <c r="C190" s="347"/>
      <c r="D190" s="348"/>
      <c r="E190" s="348"/>
      <c r="F190" s="348"/>
      <c r="G190" s="348"/>
      <c r="H190" s="348"/>
      <c r="I190" s="348"/>
      <c r="J190" s="348"/>
      <c r="K190" s="348"/>
      <c r="L190" s="348"/>
      <c r="M190" s="348"/>
      <c r="N190" s="348"/>
      <c r="O190" s="113">
        <f t="shared" si="20"/>
        <v>0</v>
      </c>
      <c r="P190" s="349"/>
      <c r="Q190" s="113">
        <f t="shared" si="21"/>
        <v>0</v>
      </c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</row>
    <row r="191" spans="1:44" x14ac:dyDescent="0.2">
      <c r="A191" s="707" t="s">
        <v>509</v>
      </c>
      <c r="B191" s="708"/>
      <c r="C191" s="347"/>
      <c r="D191" s="348"/>
      <c r="E191" s="348"/>
      <c r="F191" s="348"/>
      <c r="G191" s="348"/>
      <c r="H191" s="348"/>
      <c r="I191" s="348"/>
      <c r="J191" s="348"/>
      <c r="K191" s="348"/>
      <c r="L191" s="348"/>
      <c r="M191" s="348"/>
      <c r="N191" s="348"/>
      <c r="O191" s="709">
        <f>SUM(B191:N191)</f>
        <v>0</v>
      </c>
      <c r="P191" s="349"/>
      <c r="Q191" s="414">
        <f>O191-P191</f>
        <v>0</v>
      </c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</row>
    <row r="192" spans="1:44" x14ac:dyDescent="0.2">
      <c r="A192" s="148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</row>
    <row r="193" spans="1:44" x14ac:dyDescent="0.2">
      <c r="A193" s="148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</row>
    <row r="194" spans="1:44" x14ac:dyDescent="0.2">
      <c r="A194" s="148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</row>
    <row r="195" spans="1:44" x14ac:dyDescent="0.2">
      <c r="A195" s="148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</row>
    <row r="196" spans="1:44" x14ac:dyDescent="0.2">
      <c r="A196" s="148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</row>
    <row r="197" spans="1:44" x14ac:dyDescent="0.2">
      <c r="A197" s="148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</row>
    <row r="198" spans="1:44" x14ac:dyDescent="0.2">
      <c r="A198" s="148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</row>
    <row r="199" spans="1:44" x14ac:dyDescent="0.2">
      <c r="A199" s="148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</row>
    <row r="200" spans="1:44" x14ac:dyDescent="0.2">
      <c r="A200" s="148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</row>
    <row r="201" spans="1:44" x14ac:dyDescent="0.2">
      <c r="A201" s="148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</row>
    <row r="202" spans="1:44" x14ac:dyDescent="0.2">
      <c r="A202" s="148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</row>
    <row r="203" spans="1:44" x14ac:dyDescent="0.2">
      <c r="A203" s="148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</row>
    <row r="204" spans="1:44" x14ac:dyDescent="0.2">
      <c r="A204" s="148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</row>
    <row r="205" spans="1:44" x14ac:dyDescent="0.2">
      <c r="A205" s="148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</row>
    <row r="206" spans="1:44" x14ac:dyDescent="0.2">
      <c r="A206" s="148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</row>
    <row r="207" spans="1:44" x14ac:dyDescent="0.2">
      <c r="A207" s="148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</row>
    <row r="208" spans="1:44" x14ac:dyDescent="0.2">
      <c r="A208" s="148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</row>
    <row r="209" spans="1:44" x14ac:dyDescent="0.2">
      <c r="A209" s="148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</row>
    <row r="210" spans="1:44" x14ac:dyDescent="0.2">
      <c r="A210" s="148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</row>
    <row r="211" spans="1:44" x14ac:dyDescent="0.2">
      <c r="A211" s="148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</row>
    <row r="212" spans="1:44" x14ac:dyDescent="0.2">
      <c r="A212" s="148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</row>
    <row r="213" spans="1:44" x14ac:dyDescent="0.2">
      <c r="A213" s="148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</row>
    <row r="214" spans="1:44" x14ac:dyDescent="0.2">
      <c r="A214" s="148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</row>
    <row r="215" spans="1:44" x14ac:dyDescent="0.2">
      <c r="A215" s="148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</row>
    <row r="216" spans="1:44" x14ac:dyDescent="0.2">
      <c r="A216" s="148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</row>
    <row r="217" spans="1:44" x14ac:dyDescent="0.2">
      <c r="A217" s="148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</row>
    <row r="218" spans="1:44" x14ac:dyDescent="0.2">
      <c r="A218" s="148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</row>
    <row r="219" spans="1:44" x14ac:dyDescent="0.2">
      <c r="A219" s="148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</row>
    <row r="220" spans="1:44" x14ac:dyDescent="0.2">
      <c r="A220" s="148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</row>
    <row r="221" spans="1:44" x14ac:dyDescent="0.2">
      <c r="A221" s="148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</row>
    <row r="222" spans="1:44" x14ac:dyDescent="0.2">
      <c r="A222" s="148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</row>
    <row r="223" spans="1:44" x14ac:dyDescent="0.2">
      <c r="A223" s="148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</row>
    <row r="224" spans="1:44" x14ac:dyDescent="0.2">
      <c r="A224" s="148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</row>
    <row r="225" spans="1:44" x14ac:dyDescent="0.2">
      <c r="A225" s="148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</row>
    <row r="226" spans="1:44" x14ac:dyDescent="0.2">
      <c r="A226" s="148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</row>
    <row r="227" spans="1:44" x14ac:dyDescent="0.2">
      <c r="A227" s="148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</row>
    <row r="228" spans="1:44" x14ac:dyDescent="0.2">
      <c r="A228" s="148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</row>
    <row r="229" spans="1:44" x14ac:dyDescent="0.2">
      <c r="A229" s="148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</row>
    <row r="230" spans="1:44" x14ac:dyDescent="0.2">
      <c r="A230" s="148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</row>
    <row r="231" spans="1:44" x14ac:dyDescent="0.2">
      <c r="A231" s="148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</row>
    <row r="232" spans="1:44" x14ac:dyDescent="0.2">
      <c r="A232" s="148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</row>
    <row r="233" spans="1:44" x14ac:dyDescent="0.2">
      <c r="A233" s="148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</row>
    <row r="234" spans="1:44" x14ac:dyDescent="0.2">
      <c r="A234" s="148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</row>
    <row r="235" spans="1:44" x14ac:dyDescent="0.2">
      <c r="A235" s="148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</row>
    <row r="236" spans="1:44" x14ac:dyDescent="0.2">
      <c r="A236" s="148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</row>
    <row r="237" spans="1:44" x14ac:dyDescent="0.2">
      <c r="A237" s="148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</row>
    <row r="238" spans="1:44" x14ac:dyDescent="0.2">
      <c r="A238" s="148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</row>
    <row r="239" spans="1:44" x14ac:dyDescent="0.2">
      <c r="A239" s="148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</row>
    <row r="240" spans="1:44" x14ac:dyDescent="0.2">
      <c r="A240" s="148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</row>
    <row r="241" spans="1:44" x14ac:dyDescent="0.2">
      <c r="A241" s="148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</row>
    <row r="242" spans="1:44" x14ac:dyDescent="0.2">
      <c r="A242" s="148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</row>
    <row r="243" spans="1:44" x14ac:dyDescent="0.2">
      <c r="A243" s="148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</row>
    <row r="244" spans="1:44" x14ac:dyDescent="0.2"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</row>
  </sheetData>
  <sheetProtection algorithmName="SHA-512" hashValue="zdWIc5bc/k0TzLzffDBPqMq81NzQN6nlfGhvi4gLmQ9jEAmkzjzOZ3mu9CA76JSMSYiGEu789Dwr34OjTLIUBg==" saltValue="VJx03rEx+KKnvfm2H/566Q==" spinCount="100000" sheet="1"/>
  <mergeCells count="3">
    <mergeCell ref="J6:K6"/>
    <mergeCell ref="A189:B189"/>
    <mergeCell ref="A182:B182"/>
  </mergeCells>
  <phoneticPr fontId="2" type="noConversion"/>
  <hyperlinks>
    <hyperlink ref="N4" location="Etusivu!A1" tooltip="Tästä pääset etusivulle" display="Etusivu" xr:uid="{00000000-0004-0000-0100-000000000000}"/>
    <hyperlink ref="N38" location="Etusivu!A1" tooltip="Tästä pääset etusivulle" display="Etusivu" xr:uid="{00000000-0004-0000-0100-000001000000}"/>
    <hyperlink ref="N96" location="Etusivu!A1" tooltip="Tästä pääset etusivulle" display="Etusivu" xr:uid="{00000000-0004-0000-0100-000002000000}"/>
    <hyperlink ref="N124" location="Etusivu!A1" tooltip="Tästä pääset etusivulle" display="Etusivu" xr:uid="{00000000-0004-0000-0100-000003000000}"/>
    <hyperlink ref="N171" location="Etusivu!A1" tooltip="Tästä pääset etusivulle" display="Etusivu" xr:uid="{00000000-0004-0000-0100-000004000000}"/>
    <hyperlink ref="P4" location="Etusivu!A392" tooltip="Tästä pääset laittamaan olosuhde/haittalisät" display="Haittalisä" xr:uid="{00000000-0004-0000-0100-000005000000}"/>
    <hyperlink ref="P38" location="Etusivu!A392" tooltip="Tästä pääset laittamaan olosuhde/haittalisät" display="Haittalisä" xr:uid="{00000000-0004-0000-0100-000006000000}"/>
    <hyperlink ref="P96" location="Etusivu!A392" tooltip="Tästä pääset laittamaan olosuhde/haittalisät" display="Haittalisä" xr:uid="{00000000-0004-0000-0100-000007000000}"/>
    <hyperlink ref="P124" location="Etusivu!A392" tooltip="Tästä pääset laittamaan olosuhde/haittalisät" display="Haittalisä" xr:uid="{00000000-0004-0000-0100-000008000000}"/>
    <hyperlink ref="P171" location="Etusivu!A392" tooltip="Tästä pääset laittamaan olosuhde/haittalisät" display="Haittalisä" xr:uid="{00000000-0004-0000-0100-000009000000}"/>
  </hyperlinks>
  <pageMargins left="0.43307086614173229" right="0.51181102362204722" top="0.35433070866141736" bottom="0.35433070866141736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620"/>
  <sheetViews>
    <sheetView zoomScaleNormal="100" workbookViewId="0">
      <selection activeCell="E119" sqref="E119"/>
    </sheetView>
  </sheetViews>
  <sheetFormatPr defaultRowHeight="12.75" x14ac:dyDescent="0.2"/>
  <cols>
    <col min="1" max="1" width="11.5703125" customWidth="1"/>
    <col min="2" max="15" width="7.28515625" customWidth="1"/>
    <col min="16" max="16" width="9.5703125" customWidth="1"/>
    <col min="17" max="17" width="7.28515625" customWidth="1"/>
  </cols>
  <sheetData>
    <row r="1" spans="1:64" ht="20.25" customHeight="1" thickBot="1" x14ac:dyDescent="0.25">
      <c r="A1" s="149" t="s">
        <v>508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</row>
    <row r="2" spans="1:64" ht="11.25" customHeight="1" x14ac:dyDescent="0.2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</row>
    <row r="3" spans="1:64" ht="15.75" customHeight="1" x14ac:dyDescent="0.2">
      <c r="A3" s="152"/>
      <c r="B3" s="152" t="s">
        <v>252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</row>
    <row r="4" spans="1:64" x14ac:dyDescent="0.2">
      <c r="A4" s="129" t="s">
        <v>393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29" t="s">
        <v>253</v>
      </c>
      <c r="P4" s="129" t="s">
        <v>254</v>
      </c>
      <c r="Q4" s="129" t="s">
        <v>255</v>
      </c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</row>
    <row r="5" spans="1:64" x14ac:dyDescent="0.2">
      <c r="A5" s="132" t="s">
        <v>269</v>
      </c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131">
        <f>SUM(B5:N5)</f>
        <v>0</v>
      </c>
      <c r="P5" s="355"/>
      <c r="Q5" s="131">
        <f>O5-P5</f>
        <v>0</v>
      </c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</row>
    <row r="6" spans="1:64" x14ac:dyDescent="0.2">
      <c r="A6" s="132">
        <v>1.2</v>
      </c>
      <c r="B6" s="354"/>
      <c r="C6" s="354"/>
      <c r="D6" s="354"/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131">
        <f t="shared" ref="O6:O14" si="0">SUM(B6:N6)</f>
        <v>0</v>
      </c>
      <c r="P6" s="355"/>
      <c r="Q6" s="131">
        <f t="shared" ref="Q6:Q14" si="1">O6-P6</f>
        <v>0</v>
      </c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</row>
    <row r="7" spans="1:64" x14ac:dyDescent="0.2">
      <c r="A7" s="132">
        <v>1.4</v>
      </c>
      <c r="B7" s="354"/>
      <c r="C7" s="354"/>
      <c r="D7" s="354"/>
      <c r="E7" s="354"/>
      <c r="F7" s="354"/>
      <c r="G7" s="354"/>
      <c r="H7" s="354"/>
      <c r="I7" s="354"/>
      <c r="J7" s="354"/>
      <c r="K7" s="354"/>
      <c r="L7" s="354"/>
      <c r="M7" s="354"/>
      <c r="N7" s="354"/>
      <c r="O7" s="131">
        <f t="shared" si="0"/>
        <v>0</v>
      </c>
      <c r="P7" s="355"/>
      <c r="Q7" s="131">
        <f t="shared" si="1"/>
        <v>0</v>
      </c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</row>
    <row r="8" spans="1:64" x14ac:dyDescent="0.2">
      <c r="A8" s="132">
        <v>1.6</v>
      </c>
      <c r="B8" s="354"/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131">
        <f t="shared" si="0"/>
        <v>0</v>
      </c>
      <c r="P8" s="355"/>
      <c r="Q8" s="131">
        <f t="shared" si="1"/>
        <v>0</v>
      </c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</row>
    <row r="9" spans="1:64" x14ac:dyDescent="0.2">
      <c r="A9" s="132">
        <v>1.8</v>
      </c>
      <c r="B9" s="354"/>
      <c r="C9" s="354"/>
      <c r="D9" s="354"/>
      <c r="E9" s="354"/>
      <c r="F9" s="354"/>
      <c r="G9" s="354"/>
      <c r="H9" s="354"/>
      <c r="I9" s="354"/>
      <c r="J9" s="354"/>
      <c r="K9" s="354"/>
      <c r="L9" s="354"/>
      <c r="M9" s="354"/>
      <c r="N9" s="354"/>
      <c r="O9" s="131">
        <f t="shared" si="0"/>
        <v>0</v>
      </c>
      <c r="P9" s="355"/>
      <c r="Q9" s="131">
        <f t="shared" si="1"/>
        <v>0</v>
      </c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</row>
    <row r="10" spans="1:64" x14ac:dyDescent="0.2">
      <c r="A10" s="132">
        <v>2</v>
      </c>
      <c r="B10" s="354"/>
      <c r="C10" s="354"/>
      <c r="D10" s="354"/>
      <c r="E10" s="354"/>
      <c r="F10" s="354"/>
      <c r="G10" s="354"/>
      <c r="H10" s="354"/>
      <c r="I10" s="354"/>
      <c r="J10" s="354"/>
      <c r="K10" s="354"/>
      <c r="L10" s="354"/>
      <c r="M10" s="354"/>
      <c r="N10" s="354"/>
      <c r="O10" s="131">
        <f t="shared" si="0"/>
        <v>0</v>
      </c>
      <c r="P10" s="355"/>
      <c r="Q10" s="131">
        <f t="shared" si="1"/>
        <v>0</v>
      </c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</row>
    <row r="11" spans="1:64" x14ac:dyDescent="0.2">
      <c r="A11" s="132">
        <v>2.4</v>
      </c>
      <c r="B11" s="354"/>
      <c r="C11" s="354"/>
      <c r="D11" s="354"/>
      <c r="E11" s="354"/>
      <c r="F11" s="354"/>
      <c r="G11" s="354"/>
      <c r="H11" s="354"/>
      <c r="I11" s="354"/>
      <c r="J11" s="354"/>
      <c r="K11" s="354"/>
      <c r="L11" s="354"/>
      <c r="M11" s="354"/>
      <c r="N11" s="354"/>
      <c r="O11" s="131">
        <f t="shared" si="0"/>
        <v>0</v>
      </c>
      <c r="P11" s="355"/>
      <c r="Q11" s="131">
        <f t="shared" si="1"/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</row>
    <row r="12" spans="1:64" x14ac:dyDescent="0.2">
      <c r="A12" s="132">
        <v>2.8</v>
      </c>
      <c r="B12" s="354"/>
      <c r="C12" s="354"/>
      <c r="D12" s="354"/>
      <c r="E12" s="354"/>
      <c r="F12" s="354"/>
      <c r="G12" s="354"/>
      <c r="H12" s="354"/>
      <c r="I12" s="354"/>
      <c r="J12" s="354"/>
      <c r="K12" s="354"/>
      <c r="L12" s="354"/>
      <c r="M12" s="354"/>
      <c r="N12" s="354"/>
      <c r="O12" s="131">
        <f t="shared" si="0"/>
        <v>0</v>
      </c>
      <c r="P12" s="355"/>
      <c r="Q12" s="131">
        <f t="shared" si="1"/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</row>
    <row r="13" spans="1:64" x14ac:dyDescent="0.2">
      <c r="A13" s="132">
        <v>3.2</v>
      </c>
      <c r="B13" s="354"/>
      <c r="C13" s="354"/>
      <c r="D13" s="354"/>
      <c r="E13" s="354"/>
      <c r="F13" s="354"/>
      <c r="G13" s="354"/>
      <c r="H13" s="354"/>
      <c r="I13" s="354"/>
      <c r="J13" s="354"/>
      <c r="K13" s="354"/>
      <c r="L13" s="354"/>
      <c r="M13" s="354"/>
      <c r="N13" s="354"/>
      <c r="O13" s="131">
        <f t="shared" si="0"/>
        <v>0</v>
      </c>
      <c r="P13" s="355"/>
      <c r="Q13" s="131">
        <f t="shared" si="1"/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</row>
    <row r="14" spans="1:64" x14ac:dyDescent="0.2">
      <c r="A14" s="132">
        <v>3.6</v>
      </c>
      <c r="B14" s="354"/>
      <c r="C14" s="354"/>
      <c r="D14" s="354"/>
      <c r="E14" s="354"/>
      <c r="F14" s="354"/>
      <c r="G14" s="354"/>
      <c r="H14" s="354"/>
      <c r="I14" s="354"/>
      <c r="J14" s="354"/>
      <c r="K14" s="354"/>
      <c r="L14" s="354"/>
      <c r="M14" s="354"/>
      <c r="N14" s="354"/>
      <c r="O14" s="131">
        <f t="shared" si="0"/>
        <v>0</v>
      </c>
      <c r="P14" s="355"/>
      <c r="Q14" s="131">
        <f t="shared" si="1"/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</row>
    <row r="15" spans="1:64" x14ac:dyDescent="0.2">
      <c r="A15" s="132">
        <v>3.8</v>
      </c>
      <c r="B15" s="354"/>
      <c r="C15" s="354"/>
      <c r="D15" s="354"/>
      <c r="E15" s="354"/>
      <c r="F15" s="354"/>
      <c r="G15" s="354"/>
      <c r="H15" s="354"/>
      <c r="I15" s="354"/>
      <c r="J15" s="354"/>
      <c r="K15" s="354"/>
      <c r="L15" s="354"/>
      <c r="M15" s="354"/>
      <c r="N15" s="354"/>
      <c r="O15" s="131">
        <f>SUM(B15:N15)</f>
        <v>0</v>
      </c>
      <c r="P15" s="355"/>
      <c r="Q15" s="131">
        <f>O15-P15</f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</row>
    <row r="16" spans="1:64" x14ac:dyDescent="0.2">
      <c r="A16" s="132">
        <v>4</v>
      </c>
      <c r="B16" s="354"/>
      <c r="C16" s="354"/>
      <c r="D16" s="354"/>
      <c r="E16" s="354"/>
      <c r="F16" s="354"/>
      <c r="G16" s="354"/>
      <c r="H16" s="354"/>
      <c r="I16" s="354"/>
      <c r="J16" s="354"/>
      <c r="K16" s="354"/>
      <c r="L16" s="354"/>
      <c r="M16" s="354"/>
      <c r="N16" s="354"/>
      <c r="O16" s="131">
        <f t="shared" ref="O16:O24" si="2">SUM(B16:N16)</f>
        <v>0</v>
      </c>
      <c r="P16" s="355"/>
      <c r="Q16" s="131">
        <f t="shared" ref="Q16:Q24" si="3">O16-P16</f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</row>
    <row r="17" spans="1:64" x14ac:dyDescent="0.2">
      <c r="A17" s="132">
        <v>4.4000000000000004</v>
      </c>
      <c r="B17" s="354"/>
      <c r="C17" s="354"/>
      <c r="D17" s="354"/>
      <c r="E17" s="354"/>
      <c r="F17" s="354"/>
      <c r="G17" s="354"/>
      <c r="H17" s="354"/>
      <c r="I17" s="354"/>
      <c r="J17" s="354"/>
      <c r="K17" s="354"/>
      <c r="L17" s="354"/>
      <c r="M17" s="354"/>
      <c r="N17" s="354"/>
      <c r="O17" s="131">
        <f t="shared" si="2"/>
        <v>0</v>
      </c>
      <c r="P17" s="355"/>
      <c r="Q17" s="131">
        <f t="shared" si="3"/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</row>
    <row r="18" spans="1:64" x14ac:dyDescent="0.2">
      <c r="A18" s="132">
        <v>4.8</v>
      </c>
      <c r="B18" s="354"/>
      <c r="C18" s="354"/>
      <c r="D18" s="354"/>
      <c r="E18" s="354"/>
      <c r="F18" s="354"/>
      <c r="G18" s="354"/>
      <c r="H18" s="354"/>
      <c r="I18" s="354"/>
      <c r="J18" s="354"/>
      <c r="K18" s="354"/>
      <c r="L18" s="354"/>
      <c r="M18" s="354"/>
      <c r="N18" s="354"/>
      <c r="O18" s="131">
        <f t="shared" si="2"/>
        <v>0</v>
      </c>
      <c r="P18" s="355"/>
      <c r="Q18" s="131">
        <f t="shared" si="3"/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</row>
    <row r="19" spans="1:64" x14ac:dyDescent="0.2">
      <c r="A19" s="132">
        <v>5</v>
      </c>
      <c r="B19" s="354"/>
      <c r="C19" s="354"/>
      <c r="D19" s="354"/>
      <c r="E19" s="354"/>
      <c r="F19" s="354"/>
      <c r="G19" s="354"/>
      <c r="H19" s="354"/>
      <c r="I19" s="354"/>
      <c r="J19" s="354"/>
      <c r="K19" s="354"/>
      <c r="L19" s="354"/>
      <c r="M19" s="354"/>
      <c r="N19" s="354"/>
      <c r="O19" s="131">
        <f t="shared" si="2"/>
        <v>0</v>
      </c>
      <c r="P19" s="355"/>
      <c r="Q19" s="131">
        <f t="shared" si="3"/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</row>
    <row r="20" spans="1:64" x14ac:dyDescent="0.2">
      <c r="A20" s="132">
        <v>5.4</v>
      </c>
      <c r="B20" s="354"/>
      <c r="C20" s="354"/>
      <c r="D20" s="354"/>
      <c r="E20" s="354"/>
      <c r="F20" s="354"/>
      <c r="G20" s="354"/>
      <c r="H20" s="354"/>
      <c r="I20" s="354"/>
      <c r="J20" s="354"/>
      <c r="K20" s="354"/>
      <c r="L20" s="354"/>
      <c r="M20" s="354"/>
      <c r="N20" s="354"/>
      <c r="O20" s="131">
        <f t="shared" si="2"/>
        <v>0</v>
      </c>
      <c r="P20" s="355"/>
      <c r="Q20" s="131">
        <f t="shared" si="3"/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</row>
    <row r="21" spans="1:64" x14ac:dyDescent="0.2">
      <c r="A21" s="132">
        <v>5.8</v>
      </c>
      <c r="B21" s="354"/>
      <c r="C21" s="354"/>
      <c r="D21" s="354"/>
      <c r="E21" s="354"/>
      <c r="F21" s="354"/>
      <c r="G21" s="354"/>
      <c r="H21" s="354"/>
      <c r="I21" s="354"/>
      <c r="J21" s="354"/>
      <c r="K21" s="354"/>
      <c r="L21" s="354"/>
      <c r="M21" s="354"/>
      <c r="N21" s="354"/>
      <c r="O21" s="131">
        <f t="shared" si="2"/>
        <v>0</v>
      </c>
      <c r="P21" s="355"/>
      <c r="Q21" s="131">
        <f t="shared" si="3"/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</row>
    <row r="22" spans="1:64" x14ac:dyDescent="0.2">
      <c r="A22" s="132">
        <v>6</v>
      </c>
      <c r="B22" s="354"/>
      <c r="C22" s="354"/>
      <c r="D22" s="354"/>
      <c r="E22" s="354"/>
      <c r="F22" s="354"/>
      <c r="G22" s="354"/>
      <c r="H22" s="354"/>
      <c r="I22" s="354"/>
      <c r="J22" s="354"/>
      <c r="K22" s="354"/>
      <c r="L22" s="354"/>
      <c r="M22" s="354"/>
      <c r="N22" s="354"/>
      <c r="O22" s="131">
        <f t="shared" si="2"/>
        <v>0</v>
      </c>
      <c r="P22" s="355"/>
      <c r="Q22" s="131">
        <f t="shared" si="3"/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</row>
    <row r="23" spans="1:64" x14ac:dyDescent="0.2">
      <c r="A23" s="132">
        <v>6.4</v>
      </c>
      <c r="B23" s="354"/>
      <c r="C23" s="354"/>
      <c r="D23" s="354"/>
      <c r="E23" s="354"/>
      <c r="F23" s="354"/>
      <c r="G23" s="354"/>
      <c r="H23" s="354"/>
      <c r="I23" s="354"/>
      <c r="J23" s="354"/>
      <c r="K23" s="354"/>
      <c r="L23" s="354"/>
      <c r="M23" s="354"/>
      <c r="N23" s="354"/>
      <c r="O23" s="131">
        <f t="shared" si="2"/>
        <v>0</v>
      </c>
      <c r="P23" s="355"/>
      <c r="Q23" s="131">
        <f t="shared" si="3"/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  <c r="BI23" s="148"/>
      <c r="BJ23" s="148"/>
      <c r="BK23" s="148"/>
      <c r="BL23" s="148"/>
    </row>
    <row r="24" spans="1:64" x14ac:dyDescent="0.2">
      <c r="A24" s="132">
        <v>6.8</v>
      </c>
      <c r="B24" s="354"/>
      <c r="C24" s="354"/>
      <c r="D24" s="354"/>
      <c r="E24" s="354"/>
      <c r="F24" s="354"/>
      <c r="G24" s="354"/>
      <c r="H24" s="354"/>
      <c r="I24" s="354"/>
      <c r="J24" s="354"/>
      <c r="K24" s="354"/>
      <c r="L24" s="354"/>
      <c r="M24" s="354"/>
      <c r="N24" s="354"/>
      <c r="O24" s="131">
        <f t="shared" si="2"/>
        <v>0</v>
      </c>
      <c r="P24" s="355"/>
      <c r="Q24" s="131">
        <f t="shared" si="3"/>
        <v>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</row>
    <row r="25" spans="1:64" x14ac:dyDescent="0.2">
      <c r="A25" s="132">
        <v>7.2</v>
      </c>
      <c r="B25" s="354"/>
      <c r="C25" s="354"/>
      <c r="D25" s="354"/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131">
        <f>SUM(B25:N25)</f>
        <v>0</v>
      </c>
      <c r="P25" s="355"/>
      <c r="Q25" s="131">
        <f>O25-P25</f>
        <v>0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</row>
    <row r="26" spans="1:64" x14ac:dyDescent="0.2">
      <c r="A26" s="132">
        <v>7.6</v>
      </c>
      <c r="B26" s="354"/>
      <c r="C26" s="354"/>
      <c r="D26" s="354"/>
      <c r="E26" s="354"/>
      <c r="F26" s="354"/>
      <c r="G26" s="354"/>
      <c r="H26" s="354"/>
      <c r="I26" s="354"/>
      <c r="J26" s="354"/>
      <c r="K26" s="354"/>
      <c r="L26" s="354"/>
      <c r="M26" s="354"/>
      <c r="N26" s="354"/>
      <c r="O26" s="131">
        <f>SUM(B26:N26)</f>
        <v>0</v>
      </c>
      <c r="P26" s="355"/>
      <c r="Q26" s="131">
        <f>O26-P26</f>
        <v>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</row>
    <row r="27" spans="1:64" x14ac:dyDescent="0.2">
      <c r="A27" s="132">
        <v>8</v>
      </c>
      <c r="B27" s="354"/>
      <c r="C27" s="354"/>
      <c r="D27" s="354"/>
      <c r="E27" s="354"/>
      <c r="F27" s="354"/>
      <c r="G27" s="354"/>
      <c r="H27" s="354"/>
      <c r="I27" s="354"/>
      <c r="J27" s="354"/>
      <c r="K27" s="354"/>
      <c r="L27" s="354"/>
      <c r="M27" s="354"/>
      <c r="N27" s="354"/>
      <c r="O27" s="131">
        <f>SUM(B27:N27)</f>
        <v>0</v>
      </c>
      <c r="P27" s="355"/>
      <c r="Q27" s="131">
        <f>O27-P27</f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</row>
    <row r="28" spans="1:64" x14ac:dyDescent="0.2">
      <c r="A28" s="148"/>
      <c r="B28" s="148"/>
      <c r="C28" s="148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</row>
    <row r="29" spans="1:64" ht="13.5" thickBot="1" x14ac:dyDescent="0.25">
      <c r="A29" s="149" t="s">
        <v>270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1"/>
      <c r="M29" s="151"/>
      <c r="N29" s="151"/>
      <c r="O29" s="152"/>
      <c r="P29" s="152"/>
      <c r="Q29" s="152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</row>
    <row r="30" spans="1:64" x14ac:dyDescent="0.2">
      <c r="A30" s="152"/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340"/>
      <c r="M30" s="152"/>
      <c r="N30" s="369" t="s">
        <v>234</v>
      </c>
      <c r="O30" s="152"/>
      <c r="P30" s="367" t="s">
        <v>299</v>
      </c>
      <c r="Q30" s="152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</row>
    <row r="31" spans="1:64" x14ac:dyDescent="0.2">
      <c r="A31" s="152"/>
      <c r="B31" s="152" t="s">
        <v>252</v>
      </c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</row>
    <row r="32" spans="1:64" x14ac:dyDescent="0.2">
      <c r="A32" s="129" t="s">
        <v>393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29" t="s">
        <v>253</v>
      </c>
      <c r="P32" s="129" t="s">
        <v>254</v>
      </c>
      <c r="Q32" s="129" t="s">
        <v>255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</row>
    <row r="33" spans="1:64" x14ac:dyDescent="0.2">
      <c r="A33" s="132" t="s">
        <v>269</v>
      </c>
      <c r="B33" s="354"/>
      <c r="C33" s="354"/>
      <c r="D33" s="354"/>
      <c r="E33" s="354"/>
      <c r="F33" s="354"/>
      <c r="G33" s="354"/>
      <c r="H33" s="354"/>
      <c r="I33" s="354"/>
      <c r="J33" s="354"/>
      <c r="K33" s="354"/>
      <c r="L33" s="354"/>
      <c r="M33" s="354"/>
      <c r="N33" s="354"/>
      <c r="O33" s="131">
        <f>SUM(B33:N33)</f>
        <v>0</v>
      </c>
      <c r="P33" s="355"/>
      <c r="Q33" s="131">
        <f>O33-P33</f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  <c r="BI33" s="148"/>
      <c r="BJ33" s="148"/>
      <c r="BK33" s="148"/>
      <c r="BL33" s="148"/>
    </row>
    <row r="34" spans="1:64" x14ac:dyDescent="0.2">
      <c r="A34" s="132">
        <v>1.2</v>
      </c>
      <c r="B34" s="354"/>
      <c r="C34" s="354"/>
      <c r="D34" s="354"/>
      <c r="E34" s="354"/>
      <c r="F34" s="354"/>
      <c r="G34" s="354"/>
      <c r="H34" s="354"/>
      <c r="I34" s="354"/>
      <c r="J34" s="354"/>
      <c r="K34" s="354"/>
      <c r="L34" s="354"/>
      <c r="M34" s="354"/>
      <c r="N34" s="354"/>
      <c r="O34" s="131">
        <f t="shared" ref="O34:O42" si="4">SUM(B34:N34)</f>
        <v>0</v>
      </c>
      <c r="P34" s="355"/>
      <c r="Q34" s="131">
        <f t="shared" ref="Q34:Q42" si="5">O34-P34</f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8"/>
    </row>
    <row r="35" spans="1:64" x14ac:dyDescent="0.2">
      <c r="A35" s="132">
        <v>1.4</v>
      </c>
      <c r="B35" s="354"/>
      <c r="C35" s="354"/>
      <c r="D35" s="354"/>
      <c r="E35" s="354"/>
      <c r="F35" s="354"/>
      <c r="G35" s="354"/>
      <c r="H35" s="354"/>
      <c r="I35" s="354"/>
      <c r="J35" s="354"/>
      <c r="K35" s="354"/>
      <c r="L35" s="354"/>
      <c r="M35" s="354"/>
      <c r="N35" s="354"/>
      <c r="O35" s="131">
        <f t="shared" si="4"/>
        <v>0</v>
      </c>
      <c r="P35" s="355"/>
      <c r="Q35" s="131">
        <f t="shared" si="5"/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</row>
    <row r="36" spans="1:64" x14ac:dyDescent="0.2">
      <c r="A36" s="132">
        <v>1.6</v>
      </c>
      <c r="B36" s="354"/>
      <c r="C36" s="354"/>
      <c r="D36" s="354"/>
      <c r="E36" s="354"/>
      <c r="F36" s="354"/>
      <c r="G36" s="354"/>
      <c r="H36" s="356"/>
      <c r="I36" s="354"/>
      <c r="J36" s="354"/>
      <c r="K36" s="354"/>
      <c r="L36" s="354"/>
      <c r="M36" s="354"/>
      <c r="N36" s="354"/>
      <c r="O36" s="131">
        <f t="shared" si="4"/>
        <v>0</v>
      </c>
      <c r="P36" s="355"/>
      <c r="Q36" s="131">
        <f t="shared" si="5"/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</row>
    <row r="37" spans="1:64" x14ac:dyDescent="0.2">
      <c r="A37" s="132">
        <v>1.8</v>
      </c>
      <c r="B37" s="354"/>
      <c r="C37" s="354"/>
      <c r="D37" s="354"/>
      <c r="E37" s="354"/>
      <c r="F37" s="354"/>
      <c r="G37" s="354"/>
      <c r="H37" s="354"/>
      <c r="I37" s="354"/>
      <c r="J37" s="354"/>
      <c r="K37" s="354"/>
      <c r="L37" s="354"/>
      <c r="M37" s="354"/>
      <c r="N37" s="354"/>
      <c r="O37" s="131">
        <f t="shared" si="4"/>
        <v>0</v>
      </c>
      <c r="P37" s="355"/>
      <c r="Q37" s="131">
        <f t="shared" si="5"/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</row>
    <row r="38" spans="1:64" x14ac:dyDescent="0.2">
      <c r="A38" s="132">
        <v>2</v>
      </c>
      <c r="B38" s="354"/>
      <c r="C38" s="354"/>
      <c r="D38" s="354"/>
      <c r="E38" s="354"/>
      <c r="F38" s="354"/>
      <c r="G38" s="354"/>
      <c r="H38" s="354"/>
      <c r="I38" s="354"/>
      <c r="J38" s="354"/>
      <c r="K38" s="354"/>
      <c r="L38" s="354"/>
      <c r="M38" s="354"/>
      <c r="N38" s="354"/>
      <c r="O38" s="131">
        <f t="shared" si="4"/>
        <v>0</v>
      </c>
      <c r="P38" s="355"/>
      <c r="Q38" s="131">
        <f t="shared" si="5"/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</row>
    <row r="39" spans="1:64" x14ac:dyDescent="0.2">
      <c r="A39" s="132">
        <v>2.4</v>
      </c>
      <c r="B39" s="354"/>
      <c r="C39" s="354"/>
      <c r="D39" s="354"/>
      <c r="E39" s="354"/>
      <c r="F39" s="354"/>
      <c r="G39" s="354"/>
      <c r="H39" s="354"/>
      <c r="I39" s="354"/>
      <c r="J39" s="354"/>
      <c r="K39" s="354"/>
      <c r="L39" s="354"/>
      <c r="M39" s="354"/>
      <c r="N39" s="354"/>
      <c r="O39" s="131">
        <f t="shared" si="4"/>
        <v>0</v>
      </c>
      <c r="P39" s="355"/>
      <c r="Q39" s="131">
        <f t="shared" si="5"/>
        <v>0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</row>
    <row r="40" spans="1:64" x14ac:dyDescent="0.2">
      <c r="A40" s="132">
        <v>2.8</v>
      </c>
      <c r="B40" s="354"/>
      <c r="C40" s="354"/>
      <c r="D40" s="354"/>
      <c r="E40" s="354"/>
      <c r="F40" s="354"/>
      <c r="G40" s="354"/>
      <c r="H40" s="354"/>
      <c r="I40" s="354"/>
      <c r="J40" s="354"/>
      <c r="K40" s="354"/>
      <c r="L40" s="354"/>
      <c r="M40" s="354"/>
      <c r="N40" s="354"/>
      <c r="O40" s="131">
        <f t="shared" si="4"/>
        <v>0</v>
      </c>
      <c r="P40" s="355"/>
      <c r="Q40" s="131">
        <f t="shared" si="5"/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</row>
    <row r="41" spans="1:64" x14ac:dyDescent="0.2">
      <c r="A41" s="132">
        <v>3.2</v>
      </c>
      <c r="B41" s="354"/>
      <c r="C41" s="354"/>
      <c r="D41" s="354"/>
      <c r="E41" s="354"/>
      <c r="F41" s="354"/>
      <c r="G41" s="354"/>
      <c r="H41" s="354"/>
      <c r="I41" s="354"/>
      <c r="J41" s="354"/>
      <c r="K41" s="354"/>
      <c r="L41" s="354"/>
      <c r="M41" s="354"/>
      <c r="N41" s="354"/>
      <c r="O41" s="131">
        <f t="shared" si="4"/>
        <v>0</v>
      </c>
      <c r="P41" s="355"/>
      <c r="Q41" s="131">
        <f t="shared" si="5"/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</row>
    <row r="42" spans="1:64" x14ac:dyDescent="0.2">
      <c r="A42" s="132">
        <v>3.6</v>
      </c>
      <c r="B42" s="354"/>
      <c r="C42" s="354"/>
      <c r="D42" s="354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131">
        <f t="shared" si="4"/>
        <v>0</v>
      </c>
      <c r="P42" s="355"/>
      <c r="Q42" s="131">
        <f t="shared" si="5"/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</row>
    <row r="43" spans="1:64" x14ac:dyDescent="0.2">
      <c r="A43" s="132">
        <v>3.8</v>
      </c>
      <c r="B43" s="354"/>
      <c r="C43" s="354"/>
      <c r="D43" s="354"/>
      <c r="E43" s="354"/>
      <c r="F43" s="354"/>
      <c r="G43" s="354"/>
      <c r="H43" s="354"/>
      <c r="I43" s="354"/>
      <c r="J43" s="354"/>
      <c r="K43" s="354"/>
      <c r="L43" s="354"/>
      <c r="M43" s="354"/>
      <c r="N43" s="354"/>
      <c r="O43" s="131">
        <f>SUM(B43:N43)</f>
        <v>0</v>
      </c>
      <c r="P43" s="355"/>
      <c r="Q43" s="131">
        <f>O43-P43</f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</row>
    <row r="44" spans="1:64" x14ac:dyDescent="0.2">
      <c r="A44" s="132">
        <v>4</v>
      </c>
      <c r="B44" s="354"/>
      <c r="C44" s="354"/>
      <c r="D44" s="354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131">
        <f t="shared" ref="O44:O52" si="6">SUM(B44:N44)</f>
        <v>0</v>
      </c>
      <c r="P44" s="355"/>
      <c r="Q44" s="131">
        <f t="shared" ref="Q44:Q52" si="7">O44-P44</f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</row>
    <row r="45" spans="1:64" x14ac:dyDescent="0.2">
      <c r="A45" s="132">
        <v>4.4000000000000004</v>
      </c>
      <c r="B45" s="354"/>
      <c r="C45" s="354"/>
      <c r="D45" s="354"/>
      <c r="E45" s="354"/>
      <c r="F45" s="354"/>
      <c r="G45" s="354"/>
      <c r="H45" s="354"/>
      <c r="I45" s="354"/>
      <c r="J45" s="354"/>
      <c r="K45" s="354"/>
      <c r="L45" s="354"/>
      <c r="M45" s="354"/>
      <c r="N45" s="354"/>
      <c r="O45" s="131">
        <f t="shared" si="6"/>
        <v>0</v>
      </c>
      <c r="P45" s="355"/>
      <c r="Q45" s="131">
        <f t="shared" si="7"/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</row>
    <row r="46" spans="1:64" x14ac:dyDescent="0.2">
      <c r="A46" s="132">
        <v>4.8</v>
      </c>
      <c r="B46" s="354"/>
      <c r="C46" s="354"/>
      <c r="D46" s="354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131">
        <f t="shared" si="6"/>
        <v>0</v>
      </c>
      <c r="P46" s="355"/>
      <c r="Q46" s="131">
        <f t="shared" si="7"/>
        <v>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</row>
    <row r="47" spans="1:64" x14ac:dyDescent="0.2">
      <c r="A47" s="132">
        <v>5</v>
      </c>
      <c r="B47" s="354"/>
      <c r="C47" s="354"/>
      <c r="D47" s="354"/>
      <c r="E47" s="354"/>
      <c r="F47" s="354"/>
      <c r="G47" s="354"/>
      <c r="H47" s="354"/>
      <c r="I47" s="354"/>
      <c r="J47" s="354"/>
      <c r="K47" s="354"/>
      <c r="L47" s="354"/>
      <c r="M47" s="354"/>
      <c r="N47" s="354"/>
      <c r="O47" s="131">
        <f t="shared" si="6"/>
        <v>0</v>
      </c>
      <c r="P47" s="355"/>
      <c r="Q47" s="131">
        <f t="shared" si="7"/>
        <v>0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</row>
    <row r="48" spans="1:64" x14ac:dyDescent="0.2">
      <c r="A48" s="132">
        <v>5.4</v>
      </c>
      <c r="B48" s="354"/>
      <c r="C48" s="354"/>
      <c r="D48" s="354"/>
      <c r="E48" s="354"/>
      <c r="F48" s="354"/>
      <c r="G48" s="354"/>
      <c r="H48" s="354"/>
      <c r="I48" s="354"/>
      <c r="J48" s="354"/>
      <c r="K48" s="354"/>
      <c r="L48" s="354"/>
      <c r="M48" s="354"/>
      <c r="N48" s="354"/>
      <c r="O48" s="131">
        <f t="shared" si="6"/>
        <v>0</v>
      </c>
      <c r="P48" s="355"/>
      <c r="Q48" s="131">
        <f t="shared" si="7"/>
        <v>0</v>
      </c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</row>
    <row r="49" spans="1:64" x14ac:dyDescent="0.2">
      <c r="A49" s="132">
        <v>5.8</v>
      </c>
      <c r="B49" s="354"/>
      <c r="C49" s="354"/>
      <c r="D49" s="354"/>
      <c r="E49" s="354"/>
      <c r="F49" s="354"/>
      <c r="G49" s="354"/>
      <c r="H49" s="354"/>
      <c r="I49" s="354"/>
      <c r="J49" s="354"/>
      <c r="K49" s="354"/>
      <c r="L49" s="354"/>
      <c r="M49" s="354"/>
      <c r="N49" s="354"/>
      <c r="O49" s="131">
        <f t="shared" si="6"/>
        <v>0</v>
      </c>
      <c r="P49" s="355"/>
      <c r="Q49" s="131">
        <f t="shared" si="7"/>
        <v>0</v>
      </c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</row>
    <row r="50" spans="1:64" x14ac:dyDescent="0.2">
      <c r="A50" s="132">
        <v>6</v>
      </c>
      <c r="B50" s="354"/>
      <c r="C50" s="354"/>
      <c r="D50" s="354"/>
      <c r="E50" s="354"/>
      <c r="F50" s="354"/>
      <c r="G50" s="354"/>
      <c r="H50" s="354"/>
      <c r="I50" s="354"/>
      <c r="J50" s="354"/>
      <c r="K50" s="354"/>
      <c r="L50" s="354"/>
      <c r="M50" s="354"/>
      <c r="N50" s="354"/>
      <c r="O50" s="131">
        <f t="shared" si="6"/>
        <v>0</v>
      </c>
      <c r="P50" s="355"/>
      <c r="Q50" s="131">
        <f t="shared" si="7"/>
        <v>0</v>
      </c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</row>
    <row r="51" spans="1:64" x14ac:dyDescent="0.2">
      <c r="A51" s="132">
        <v>6.4</v>
      </c>
      <c r="B51" s="354"/>
      <c r="C51" s="354"/>
      <c r="D51" s="354"/>
      <c r="E51" s="354"/>
      <c r="F51" s="354"/>
      <c r="G51" s="354"/>
      <c r="H51" s="354"/>
      <c r="I51" s="354"/>
      <c r="J51" s="354"/>
      <c r="K51" s="354"/>
      <c r="L51" s="354"/>
      <c r="M51" s="354"/>
      <c r="N51" s="354"/>
      <c r="O51" s="131">
        <f t="shared" si="6"/>
        <v>0</v>
      </c>
      <c r="P51" s="355"/>
      <c r="Q51" s="131">
        <f t="shared" si="7"/>
        <v>0</v>
      </c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</row>
    <row r="52" spans="1:64" x14ac:dyDescent="0.2">
      <c r="A52" s="132">
        <v>6.8</v>
      </c>
      <c r="B52" s="354"/>
      <c r="C52" s="354"/>
      <c r="D52" s="354"/>
      <c r="E52" s="354"/>
      <c r="F52" s="354"/>
      <c r="G52" s="354"/>
      <c r="H52" s="354"/>
      <c r="I52" s="354"/>
      <c r="J52" s="354"/>
      <c r="K52" s="354"/>
      <c r="L52" s="354"/>
      <c r="M52" s="354"/>
      <c r="N52" s="354"/>
      <c r="O52" s="131">
        <f t="shared" si="6"/>
        <v>0</v>
      </c>
      <c r="P52" s="355"/>
      <c r="Q52" s="131">
        <f t="shared" si="7"/>
        <v>0</v>
      </c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8"/>
    </row>
    <row r="53" spans="1:64" x14ac:dyDescent="0.2">
      <c r="A53" s="132">
        <v>7.2</v>
      </c>
      <c r="B53" s="354"/>
      <c r="C53" s="354"/>
      <c r="D53" s="354"/>
      <c r="E53" s="354"/>
      <c r="F53" s="354"/>
      <c r="G53" s="354"/>
      <c r="H53" s="354"/>
      <c r="I53" s="354"/>
      <c r="J53" s="354"/>
      <c r="K53" s="354"/>
      <c r="L53" s="354"/>
      <c r="M53" s="354"/>
      <c r="N53" s="354"/>
      <c r="O53" s="131">
        <f>SUM(B53:N53)</f>
        <v>0</v>
      </c>
      <c r="P53" s="355"/>
      <c r="Q53" s="131">
        <f>O53-P53</f>
        <v>0</v>
      </c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</row>
    <row r="54" spans="1:64" x14ac:dyDescent="0.2">
      <c r="A54" s="132">
        <v>7.6</v>
      </c>
      <c r="B54" s="354"/>
      <c r="C54" s="354"/>
      <c r="D54" s="354"/>
      <c r="E54" s="354"/>
      <c r="F54" s="354"/>
      <c r="G54" s="354"/>
      <c r="H54" s="354"/>
      <c r="I54" s="354"/>
      <c r="J54" s="354"/>
      <c r="K54" s="354"/>
      <c r="L54" s="354"/>
      <c r="M54" s="354"/>
      <c r="N54" s="354"/>
      <c r="O54" s="131">
        <f>SUM(B54:N54)</f>
        <v>0</v>
      </c>
      <c r="P54" s="355"/>
      <c r="Q54" s="131">
        <f>O54-P54</f>
        <v>0</v>
      </c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</row>
    <row r="55" spans="1:64" x14ac:dyDescent="0.2">
      <c r="A55" s="132">
        <v>8</v>
      </c>
      <c r="B55" s="354"/>
      <c r="C55" s="354"/>
      <c r="D55" s="354"/>
      <c r="E55" s="354"/>
      <c r="F55" s="354"/>
      <c r="G55" s="354"/>
      <c r="H55" s="354"/>
      <c r="I55" s="356"/>
      <c r="J55" s="356"/>
      <c r="K55" s="354"/>
      <c r="L55" s="354"/>
      <c r="M55" s="354"/>
      <c r="N55" s="354"/>
      <c r="O55" s="131">
        <f>SUM(B55:N55)</f>
        <v>0</v>
      </c>
      <c r="P55" s="355"/>
      <c r="Q55" s="131">
        <f>O55-P55</f>
        <v>0</v>
      </c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</row>
    <row r="56" spans="1:64" x14ac:dyDescent="0.2">
      <c r="A56" s="148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</row>
    <row r="57" spans="1:64" ht="13.5" thickBot="1" x14ac:dyDescent="0.25">
      <c r="A57" s="149" t="s">
        <v>271</v>
      </c>
      <c r="B57" s="150"/>
      <c r="C57" s="150"/>
      <c r="D57" s="150"/>
      <c r="E57" s="150"/>
      <c r="F57" s="150"/>
      <c r="G57" s="150"/>
      <c r="H57" s="150"/>
      <c r="I57" s="150"/>
      <c r="J57" s="151"/>
      <c r="K57" s="151"/>
      <c r="L57" s="151"/>
      <c r="M57" s="151"/>
      <c r="N57" s="151"/>
      <c r="O57" s="152"/>
      <c r="P57" s="152"/>
      <c r="Q57" s="152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</row>
    <row r="58" spans="1:64" x14ac:dyDescent="0.2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369" t="s">
        <v>234</v>
      </c>
      <c r="O58" s="152"/>
      <c r="P58" s="367" t="s">
        <v>299</v>
      </c>
      <c r="Q58" s="152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</row>
    <row r="59" spans="1:64" x14ac:dyDescent="0.2">
      <c r="A59" s="152"/>
      <c r="B59" s="152" t="s">
        <v>252</v>
      </c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48"/>
      <c r="BJ59" s="148"/>
      <c r="BK59" s="148"/>
      <c r="BL59" s="148"/>
    </row>
    <row r="60" spans="1:64" x14ac:dyDescent="0.2">
      <c r="A60" s="129" t="s">
        <v>393</v>
      </c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29" t="s">
        <v>253</v>
      </c>
      <c r="P60" s="129" t="s">
        <v>254</v>
      </c>
      <c r="Q60" s="129" t="s">
        <v>255</v>
      </c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</row>
    <row r="61" spans="1:64" x14ac:dyDescent="0.2">
      <c r="A61" s="132" t="s">
        <v>269</v>
      </c>
      <c r="B61" s="354"/>
      <c r="C61" s="354"/>
      <c r="D61" s="354"/>
      <c r="E61" s="354"/>
      <c r="F61" s="354"/>
      <c r="G61" s="354"/>
      <c r="H61" s="354"/>
      <c r="I61" s="354"/>
      <c r="J61" s="354"/>
      <c r="K61" s="354"/>
      <c r="L61" s="354"/>
      <c r="M61" s="354"/>
      <c r="N61" s="354"/>
      <c r="O61" s="131">
        <f>SUM(B61:N61)</f>
        <v>0</v>
      </c>
      <c r="P61" s="355"/>
      <c r="Q61" s="131">
        <f>O61-P61</f>
        <v>0</v>
      </c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</row>
    <row r="62" spans="1:64" x14ac:dyDescent="0.2">
      <c r="A62" s="132">
        <v>1.2</v>
      </c>
      <c r="B62" s="354"/>
      <c r="C62" s="354"/>
      <c r="D62" s="354"/>
      <c r="E62" s="354"/>
      <c r="F62" s="354"/>
      <c r="G62" s="354"/>
      <c r="H62" s="354"/>
      <c r="I62" s="354"/>
      <c r="J62" s="354"/>
      <c r="K62" s="354"/>
      <c r="L62" s="354"/>
      <c r="M62" s="354"/>
      <c r="N62" s="354"/>
      <c r="O62" s="131">
        <f t="shared" ref="O62:O70" si="8">SUM(B62:N62)</f>
        <v>0</v>
      </c>
      <c r="P62" s="355"/>
      <c r="Q62" s="131">
        <f t="shared" ref="Q62:Q70" si="9">O62-P62</f>
        <v>0</v>
      </c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</row>
    <row r="63" spans="1:64" x14ac:dyDescent="0.2">
      <c r="A63" s="132">
        <v>1.4</v>
      </c>
      <c r="B63" s="354"/>
      <c r="C63" s="354"/>
      <c r="D63" s="354"/>
      <c r="E63" s="354"/>
      <c r="F63" s="354"/>
      <c r="G63" s="354"/>
      <c r="H63" s="354"/>
      <c r="I63" s="354"/>
      <c r="J63" s="354"/>
      <c r="K63" s="354"/>
      <c r="L63" s="354"/>
      <c r="M63" s="354"/>
      <c r="N63" s="354"/>
      <c r="O63" s="131">
        <f t="shared" si="8"/>
        <v>0</v>
      </c>
      <c r="P63" s="355"/>
      <c r="Q63" s="131">
        <f t="shared" si="9"/>
        <v>0</v>
      </c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</row>
    <row r="64" spans="1:64" x14ac:dyDescent="0.2">
      <c r="A64" s="132">
        <v>1.6</v>
      </c>
      <c r="B64" s="354"/>
      <c r="C64" s="354"/>
      <c r="D64" s="354"/>
      <c r="E64" s="354"/>
      <c r="F64" s="354"/>
      <c r="G64" s="354"/>
      <c r="H64" s="354"/>
      <c r="I64" s="354"/>
      <c r="J64" s="354"/>
      <c r="K64" s="354"/>
      <c r="L64" s="354"/>
      <c r="M64" s="354"/>
      <c r="N64" s="354"/>
      <c r="O64" s="131">
        <f t="shared" si="8"/>
        <v>0</v>
      </c>
      <c r="P64" s="355"/>
      <c r="Q64" s="131">
        <f t="shared" si="9"/>
        <v>0</v>
      </c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</row>
    <row r="65" spans="1:64" x14ac:dyDescent="0.2">
      <c r="A65" s="132">
        <v>1.8</v>
      </c>
      <c r="B65" s="354"/>
      <c r="C65" s="354"/>
      <c r="D65" s="354"/>
      <c r="E65" s="354"/>
      <c r="F65" s="354"/>
      <c r="G65" s="354"/>
      <c r="H65" s="354"/>
      <c r="I65" s="354"/>
      <c r="J65" s="354"/>
      <c r="K65" s="354"/>
      <c r="L65" s="354"/>
      <c r="M65" s="354"/>
      <c r="N65" s="354"/>
      <c r="O65" s="131">
        <f t="shared" si="8"/>
        <v>0</v>
      </c>
      <c r="P65" s="355"/>
      <c r="Q65" s="131">
        <f t="shared" si="9"/>
        <v>0</v>
      </c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</row>
    <row r="66" spans="1:64" x14ac:dyDescent="0.2">
      <c r="A66" s="132">
        <v>2</v>
      </c>
      <c r="B66" s="354"/>
      <c r="C66" s="354"/>
      <c r="D66" s="354"/>
      <c r="E66" s="354"/>
      <c r="F66" s="354"/>
      <c r="G66" s="354"/>
      <c r="H66" s="354"/>
      <c r="I66" s="354"/>
      <c r="J66" s="354"/>
      <c r="K66" s="354"/>
      <c r="L66" s="354"/>
      <c r="M66" s="354"/>
      <c r="N66" s="354"/>
      <c r="O66" s="131">
        <f t="shared" si="8"/>
        <v>0</v>
      </c>
      <c r="P66" s="355"/>
      <c r="Q66" s="131">
        <f t="shared" si="9"/>
        <v>0</v>
      </c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</row>
    <row r="67" spans="1:64" x14ac:dyDescent="0.2">
      <c r="A67" s="132">
        <v>2.4</v>
      </c>
      <c r="B67" s="354"/>
      <c r="C67" s="354"/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131">
        <f t="shared" si="8"/>
        <v>0</v>
      </c>
      <c r="P67" s="355"/>
      <c r="Q67" s="131">
        <f t="shared" si="9"/>
        <v>0</v>
      </c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</row>
    <row r="68" spans="1:64" x14ac:dyDescent="0.2">
      <c r="A68" s="132">
        <v>2.8</v>
      </c>
      <c r="B68" s="354"/>
      <c r="C68" s="354"/>
      <c r="D68" s="354"/>
      <c r="E68" s="354"/>
      <c r="F68" s="354"/>
      <c r="G68" s="354"/>
      <c r="H68" s="354"/>
      <c r="I68" s="354"/>
      <c r="J68" s="354"/>
      <c r="K68" s="354"/>
      <c r="L68" s="354"/>
      <c r="M68" s="354"/>
      <c r="N68" s="354"/>
      <c r="O68" s="131">
        <f t="shared" si="8"/>
        <v>0</v>
      </c>
      <c r="P68" s="355"/>
      <c r="Q68" s="131">
        <f t="shared" si="9"/>
        <v>0</v>
      </c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</row>
    <row r="69" spans="1:64" x14ac:dyDescent="0.2">
      <c r="A69" s="132">
        <v>3.2</v>
      </c>
      <c r="B69" s="354"/>
      <c r="C69" s="354"/>
      <c r="D69" s="354"/>
      <c r="E69" s="354"/>
      <c r="F69" s="354"/>
      <c r="G69" s="354"/>
      <c r="H69" s="354"/>
      <c r="I69" s="354"/>
      <c r="J69" s="354"/>
      <c r="K69" s="354"/>
      <c r="L69" s="354"/>
      <c r="M69" s="354"/>
      <c r="N69" s="354"/>
      <c r="O69" s="131">
        <f t="shared" si="8"/>
        <v>0</v>
      </c>
      <c r="P69" s="355"/>
      <c r="Q69" s="131">
        <f t="shared" si="9"/>
        <v>0</v>
      </c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</row>
    <row r="70" spans="1:64" x14ac:dyDescent="0.2">
      <c r="A70" s="132">
        <v>3.6</v>
      </c>
      <c r="B70" s="354"/>
      <c r="C70" s="354"/>
      <c r="D70" s="354"/>
      <c r="E70" s="354"/>
      <c r="F70" s="354"/>
      <c r="G70" s="354"/>
      <c r="H70" s="354"/>
      <c r="I70" s="354"/>
      <c r="J70" s="354"/>
      <c r="K70" s="354"/>
      <c r="L70" s="354"/>
      <c r="M70" s="354"/>
      <c r="N70" s="354"/>
      <c r="O70" s="131">
        <f t="shared" si="8"/>
        <v>0</v>
      </c>
      <c r="P70" s="355"/>
      <c r="Q70" s="131">
        <f t="shared" si="9"/>
        <v>0</v>
      </c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</row>
    <row r="71" spans="1:64" x14ac:dyDescent="0.2">
      <c r="A71" s="132">
        <v>3.8</v>
      </c>
      <c r="B71" s="354"/>
      <c r="C71" s="354"/>
      <c r="D71" s="354"/>
      <c r="E71" s="354"/>
      <c r="F71" s="354"/>
      <c r="G71" s="354"/>
      <c r="H71" s="354"/>
      <c r="I71" s="354"/>
      <c r="J71" s="354"/>
      <c r="K71" s="354"/>
      <c r="L71" s="354"/>
      <c r="M71" s="354"/>
      <c r="N71" s="354"/>
      <c r="O71" s="131">
        <f>SUM(B71:N71)</f>
        <v>0</v>
      </c>
      <c r="P71" s="355"/>
      <c r="Q71" s="131">
        <f>O71-P71</f>
        <v>0</v>
      </c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</row>
    <row r="72" spans="1:64" x14ac:dyDescent="0.2">
      <c r="A72" s="132">
        <v>4</v>
      </c>
      <c r="B72" s="354"/>
      <c r="C72" s="354"/>
      <c r="D72" s="354"/>
      <c r="E72" s="354"/>
      <c r="F72" s="354"/>
      <c r="G72" s="354"/>
      <c r="H72" s="354"/>
      <c r="I72" s="354"/>
      <c r="J72" s="354"/>
      <c r="K72" s="354"/>
      <c r="L72" s="354"/>
      <c r="M72" s="354"/>
      <c r="N72" s="354"/>
      <c r="O72" s="131">
        <f t="shared" ref="O72:O80" si="10">SUM(B72:N72)</f>
        <v>0</v>
      </c>
      <c r="P72" s="355"/>
      <c r="Q72" s="131">
        <f t="shared" ref="Q72:Q80" si="11">O72-P72</f>
        <v>0</v>
      </c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</row>
    <row r="73" spans="1:64" x14ac:dyDescent="0.2">
      <c r="A73" s="132">
        <v>4.4000000000000004</v>
      </c>
      <c r="B73" s="354"/>
      <c r="C73" s="354"/>
      <c r="D73" s="354"/>
      <c r="E73" s="354"/>
      <c r="F73" s="354"/>
      <c r="G73" s="354"/>
      <c r="H73" s="354"/>
      <c r="I73" s="354"/>
      <c r="J73" s="354"/>
      <c r="K73" s="354"/>
      <c r="L73" s="354"/>
      <c r="M73" s="354"/>
      <c r="N73" s="354"/>
      <c r="O73" s="131">
        <f t="shared" si="10"/>
        <v>0</v>
      </c>
      <c r="P73" s="355"/>
      <c r="Q73" s="131">
        <f t="shared" si="11"/>
        <v>0</v>
      </c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</row>
    <row r="74" spans="1:64" x14ac:dyDescent="0.2">
      <c r="A74" s="132">
        <v>4.8</v>
      </c>
      <c r="B74" s="354"/>
      <c r="C74" s="354"/>
      <c r="D74" s="354"/>
      <c r="E74" s="354"/>
      <c r="F74" s="354"/>
      <c r="G74" s="354"/>
      <c r="H74" s="354"/>
      <c r="I74" s="354"/>
      <c r="J74" s="354"/>
      <c r="K74" s="354"/>
      <c r="L74" s="354"/>
      <c r="M74" s="354"/>
      <c r="N74" s="354"/>
      <c r="O74" s="131">
        <f t="shared" si="10"/>
        <v>0</v>
      </c>
      <c r="P74" s="355"/>
      <c r="Q74" s="131">
        <f t="shared" si="11"/>
        <v>0</v>
      </c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</row>
    <row r="75" spans="1:64" x14ac:dyDescent="0.2">
      <c r="A75" s="132">
        <v>5</v>
      </c>
      <c r="B75" s="354"/>
      <c r="C75" s="354"/>
      <c r="D75" s="354"/>
      <c r="E75" s="354"/>
      <c r="F75" s="354"/>
      <c r="G75" s="354"/>
      <c r="H75" s="354"/>
      <c r="I75" s="354"/>
      <c r="J75" s="354"/>
      <c r="K75" s="354"/>
      <c r="L75" s="354"/>
      <c r="M75" s="354"/>
      <c r="N75" s="354"/>
      <c r="O75" s="131">
        <f t="shared" si="10"/>
        <v>0</v>
      </c>
      <c r="P75" s="355"/>
      <c r="Q75" s="131">
        <f t="shared" si="11"/>
        <v>0</v>
      </c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</row>
    <row r="76" spans="1:64" x14ac:dyDescent="0.2">
      <c r="A76" s="132">
        <v>5.4</v>
      </c>
      <c r="B76" s="354"/>
      <c r="C76" s="354"/>
      <c r="D76" s="354"/>
      <c r="E76" s="354"/>
      <c r="F76" s="354"/>
      <c r="G76" s="354"/>
      <c r="H76" s="354"/>
      <c r="I76" s="354"/>
      <c r="J76" s="354"/>
      <c r="K76" s="354"/>
      <c r="L76" s="354"/>
      <c r="M76" s="354"/>
      <c r="N76" s="354"/>
      <c r="O76" s="131">
        <f t="shared" si="10"/>
        <v>0</v>
      </c>
      <c r="P76" s="355"/>
      <c r="Q76" s="131">
        <f t="shared" si="11"/>
        <v>0</v>
      </c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</row>
    <row r="77" spans="1:64" x14ac:dyDescent="0.2">
      <c r="A77" s="132">
        <v>5.8</v>
      </c>
      <c r="B77" s="354"/>
      <c r="C77" s="354"/>
      <c r="D77" s="354"/>
      <c r="E77" s="354"/>
      <c r="F77" s="354"/>
      <c r="G77" s="354"/>
      <c r="H77" s="354"/>
      <c r="I77" s="354"/>
      <c r="J77" s="354"/>
      <c r="K77" s="354"/>
      <c r="L77" s="354"/>
      <c r="M77" s="354"/>
      <c r="N77" s="354"/>
      <c r="O77" s="131">
        <f t="shared" si="10"/>
        <v>0</v>
      </c>
      <c r="P77" s="355"/>
      <c r="Q77" s="131">
        <f t="shared" si="11"/>
        <v>0</v>
      </c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</row>
    <row r="78" spans="1:64" x14ac:dyDescent="0.2">
      <c r="A78" s="132">
        <v>6</v>
      </c>
      <c r="B78" s="354"/>
      <c r="C78" s="354"/>
      <c r="D78" s="354"/>
      <c r="E78" s="354"/>
      <c r="F78" s="354"/>
      <c r="G78" s="354"/>
      <c r="H78" s="354"/>
      <c r="I78" s="354"/>
      <c r="J78" s="354"/>
      <c r="K78" s="354"/>
      <c r="L78" s="354"/>
      <c r="M78" s="354"/>
      <c r="N78" s="354"/>
      <c r="O78" s="131">
        <f t="shared" si="10"/>
        <v>0</v>
      </c>
      <c r="P78" s="355"/>
      <c r="Q78" s="131">
        <f t="shared" si="11"/>
        <v>0</v>
      </c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</row>
    <row r="79" spans="1:64" x14ac:dyDescent="0.2">
      <c r="A79" s="132">
        <v>6.4</v>
      </c>
      <c r="B79" s="354"/>
      <c r="C79" s="354"/>
      <c r="D79" s="354"/>
      <c r="E79" s="354"/>
      <c r="F79" s="354"/>
      <c r="G79" s="354"/>
      <c r="H79" s="354"/>
      <c r="I79" s="354"/>
      <c r="J79" s="354"/>
      <c r="K79" s="354"/>
      <c r="L79" s="354"/>
      <c r="M79" s="354"/>
      <c r="N79" s="354"/>
      <c r="O79" s="131">
        <f t="shared" si="10"/>
        <v>0</v>
      </c>
      <c r="P79" s="355"/>
      <c r="Q79" s="131">
        <f t="shared" si="11"/>
        <v>0</v>
      </c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</row>
    <row r="80" spans="1:64" x14ac:dyDescent="0.2">
      <c r="A80" s="132">
        <v>6.8</v>
      </c>
      <c r="B80" s="354"/>
      <c r="C80" s="354"/>
      <c r="D80" s="354"/>
      <c r="E80" s="354"/>
      <c r="F80" s="354"/>
      <c r="G80" s="354"/>
      <c r="H80" s="354"/>
      <c r="I80" s="354"/>
      <c r="J80" s="354"/>
      <c r="K80" s="354"/>
      <c r="L80" s="354"/>
      <c r="M80" s="354"/>
      <c r="N80" s="354"/>
      <c r="O80" s="131">
        <f t="shared" si="10"/>
        <v>0</v>
      </c>
      <c r="P80" s="355"/>
      <c r="Q80" s="131">
        <f t="shared" si="11"/>
        <v>0</v>
      </c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</row>
    <row r="81" spans="1:64" x14ac:dyDescent="0.2">
      <c r="A81" s="132">
        <v>7.2</v>
      </c>
      <c r="B81" s="354"/>
      <c r="C81" s="354"/>
      <c r="D81" s="354"/>
      <c r="E81" s="354"/>
      <c r="F81" s="354"/>
      <c r="G81" s="354"/>
      <c r="H81" s="354"/>
      <c r="I81" s="354"/>
      <c r="J81" s="354"/>
      <c r="K81" s="354"/>
      <c r="L81" s="354"/>
      <c r="M81" s="354"/>
      <c r="N81" s="354"/>
      <c r="O81" s="131">
        <f>SUM(B81:N81)</f>
        <v>0</v>
      </c>
      <c r="P81" s="355"/>
      <c r="Q81" s="131">
        <f>O81-P81</f>
        <v>0</v>
      </c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</row>
    <row r="82" spans="1:64" x14ac:dyDescent="0.2">
      <c r="A82" s="132">
        <v>7.6</v>
      </c>
      <c r="B82" s="354"/>
      <c r="C82" s="354"/>
      <c r="D82" s="354"/>
      <c r="E82" s="354"/>
      <c r="F82" s="354"/>
      <c r="G82" s="354"/>
      <c r="H82" s="354"/>
      <c r="I82" s="354"/>
      <c r="J82" s="354"/>
      <c r="K82" s="354"/>
      <c r="L82" s="354"/>
      <c r="M82" s="354"/>
      <c r="N82" s="354"/>
      <c r="O82" s="131">
        <f>SUM(B82:N82)</f>
        <v>0</v>
      </c>
      <c r="P82" s="355"/>
      <c r="Q82" s="131">
        <f>O82-P82</f>
        <v>0</v>
      </c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</row>
    <row r="83" spans="1:64" x14ac:dyDescent="0.2">
      <c r="A83" s="132">
        <v>8</v>
      </c>
      <c r="B83" s="354"/>
      <c r="C83" s="354"/>
      <c r="D83" s="354"/>
      <c r="E83" s="354"/>
      <c r="F83" s="354"/>
      <c r="G83" s="354"/>
      <c r="H83" s="354"/>
      <c r="I83" s="354"/>
      <c r="J83" s="354"/>
      <c r="K83" s="354"/>
      <c r="L83" s="354"/>
      <c r="M83" s="354"/>
      <c r="N83" s="354"/>
      <c r="O83" s="131">
        <f>SUM(B83:N83)</f>
        <v>0</v>
      </c>
      <c r="P83" s="355"/>
      <c r="Q83" s="131">
        <f>O83-P83</f>
        <v>0</v>
      </c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</row>
    <row r="84" spans="1:64" x14ac:dyDescent="0.2">
      <c r="A84" s="148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</row>
    <row r="85" spans="1:64" ht="13.5" thickBot="1" x14ac:dyDescent="0.25">
      <c r="A85" s="149" t="s">
        <v>272</v>
      </c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1"/>
      <c r="N85" s="151"/>
      <c r="O85" s="152"/>
      <c r="P85" s="152"/>
      <c r="Q85" s="152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</row>
    <row r="86" spans="1:64" x14ac:dyDescent="0.2">
      <c r="A86" s="152"/>
      <c r="B86" s="152"/>
      <c r="C86" s="152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369" t="s">
        <v>234</v>
      </c>
      <c r="O86" s="152"/>
      <c r="P86" s="367" t="s">
        <v>299</v>
      </c>
      <c r="Q86" s="152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</row>
    <row r="87" spans="1:64" x14ac:dyDescent="0.2">
      <c r="A87" s="152"/>
      <c r="B87" s="152" t="s">
        <v>252</v>
      </c>
      <c r="C87" s="152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</row>
    <row r="88" spans="1:64" x14ac:dyDescent="0.2">
      <c r="A88" s="129" t="s">
        <v>393</v>
      </c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29" t="s">
        <v>253</v>
      </c>
      <c r="P88" s="129" t="s">
        <v>254</v>
      </c>
      <c r="Q88" s="129" t="s">
        <v>255</v>
      </c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</row>
    <row r="89" spans="1:64" x14ac:dyDescent="0.2">
      <c r="A89" s="132" t="s">
        <v>269</v>
      </c>
      <c r="B89" s="354"/>
      <c r="C89" s="354"/>
      <c r="D89" s="354"/>
      <c r="E89" s="354"/>
      <c r="F89" s="354"/>
      <c r="G89" s="354"/>
      <c r="H89" s="354"/>
      <c r="I89" s="354"/>
      <c r="J89" s="354"/>
      <c r="K89" s="354"/>
      <c r="L89" s="354"/>
      <c r="M89" s="354"/>
      <c r="N89" s="354"/>
      <c r="O89" s="131">
        <f>SUM(B89:N89)</f>
        <v>0</v>
      </c>
      <c r="P89" s="355"/>
      <c r="Q89" s="131">
        <f>O89-P89</f>
        <v>0</v>
      </c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  <c r="BI89" s="148"/>
      <c r="BJ89" s="148"/>
      <c r="BK89" s="148"/>
      <c r="BL89" s="148"/>
    </row>
    <row r="90" spans="1:64" x14ac:dyDescent="0.2">
      <c r="A90" s="132">
        <v>1.2</v>
      </c>
      <c r="B90" s="354"/>
      <c r="C90" s="354"/>
      <c r="D90" s="354"/>
      <c r="E90" s="354"/>
      <c r="F90" s="354"/>
      <c r="G90" s="354"/>
      <c r="H90" s="354"/>
      <c r="I90" s="354"/>
      <c r="J90" s="354"/>
      <c r="K90" s="354"/>
      <c r="L90" s="354"/>
      <c r="M90" s="354"/>
      <c r="N90" s="354"/>
      <c r="O90" s="131">
        <f t="shared" ref="O90:O98" si="12">SUM(B90:N90)</f>
        <v>0</v>
      </c>
      <c r="P90" s="355"/>
      <c r="Q90" s="131">
        <f t="shared" ref="Q90:Q98" si="13">O90-P90</f>
        <v>0</v>
      </c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  <c r="BI90" s="148"/>
      <c r="BJ90" s="148"/>
      <c r="BK90" s="148"/>
      <c r="BL90" s="148"/>
    </row>
    <row r="91" spans="1:64" x14ac:dyDescent="0.2">
      <c r="A91" s="132">
        <v>1.4</v>
      </c>
      <c r="B91" s="354"/>
      <c r="C91" s="354"/>
      <c r="D91" s="354"/>
      <c r="E91" s="354"/>
      <c r="F91" s="354"/>
      <c r="G91" s="354"/>
      <c r="H91" s="354"/>
      <c r="I91" s="354"/>
      <c r="J91" s="354"/>
      <c r="K91" s="354"/>
      <c r="L91" s="354"/>
      <c r="M91" s="354"/>
      <c r="N91" s="354"/>
      <c r="O91" s="131">
        <f t="shared" si="12"/>
        <v>0</v>
      </c>
      <c r="P91" s="355"/>
      <c r="Q91" s="131">
        <f t="shared" si="13"/>
        <v>0</v>
      </c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  <c r="BI91" s="148"/>
      <c r="BJ91" s="148"/>
      <c r="BK91" s="148"/>
      <c r="BL91" s="148"/>
    </row>
    <row r="92" spans="1:64" x14ac:dyDescent="0.2">
      <c r="A92" s="132">
        <v>1.6</v>
      </c>
      <c r="B92" s="354"/>
      <c r="C92" s="354"/>
      <c r="D92" s="354"/>
      <c r="E92" s="354"/>
      <c r="F92" s="354"/>
      <c r="G92" s="354"/>
      <c r="H92" s="354"/>
      <c r="I92" s="354"/>
      <c r="J92" s="354"/>
      <c r="K92" s="354"/>
      <c r="L92" s="354"/>
      <c r="M92" s="354"/>
      <c r="N92" s="354"/>
      <c r="O92" s="131">
        <f t="shared" si="12"/>
        <v>0</v>
      </c>
      <c r="P92" s="355"/>
      <c r="Q92" s="131">
        <f t="shared" si="13"/>
        <v>0</v>
      </c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  <c r="BI92" s="148"/>
      <c r="BJ92" s="148"/>
      <c r="BK92" s="148"/>
      <c r="BL92" s="148"/>
    </row>
    <row r="93" spans="1:64" x14ac:dyDescent="0.2">
      <c r="A93" s="132">
        <v>1.8</v>
      </c>
      <c r="B93" s="354"/>
      <c r="C93" s="354"/>
      <c r="D93" s="354"/>
      <c r="E93" s="354"/>
      <c r="F93" s="354"/>
      <c r="G93" s="354"/>
      <c r="H93" s="354"/>
      <c r="I93" s="354"/>
      <c r="J93" s="354"/>
      <c r="K93" s="354"/>
      <c r="L93" s="354"/>
      <c r="M93" s="354"/>
      <c r="N93" s="354"/>
      <c r="O93" s="131">
        <f t="shared" si="12"/>
        <v>0</v>
      </c>
      <c r="P93" s="355"/>
      <c r="Q93" s="131">
        <f t="shared" si="13"/>
        <v>0</v>
      </c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  <c r="BI93" s="148"/>
      <c r="BJ93" s="148"/>
      <c r="BK93" s="148"/>
      <c r="BL93" s="148"/>
    </row>
    <row r="94" spans="1:64" x14ac:dyDescent="0.2">
      <c r="A94" s="132">
        <v>2</v>
      </c>
      <c r="B94" s="354"/>
      <c r="C94" s="354"/>
      <c r="D94" s="354"/>
      <c r="E94" s="354"/>
      <c r="F94" s="354"/>
      <c r="G94" s="354"/>
      <c r="H94" s="354"/>
      <c r="I94" s="354"/>
      <c r="J94" s="354"/>
      <c r="K94" s="354"/>
      <c r="L94" s="354"/>
      <c r="M94" s="354"/>
      <c r="N94" s="354"/>
      <c r="O94" s="131">
        <f t="shared" si="12"/>
        <v>0</v>
      </c>
      <c r="P94" s="355"/>
      <c r="Q94" s="131">
        <f t="shared" si="13"/>
        <v>0</v>
      </c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  <c r="BI94" s="148"/>
      <c r="BJ94" s="148"/>
      <c r="BK94" s="148"/>
      <c r="BL94" s="148"/>
    </row>
    <row r="95" spans="1:64" x14ac:dyDescent="0.2">
      <c r="A95" s="132">
        <v>2.4</v>
      </c>
      <c r="B95" s="354"/>
      <c r="C95" s="354"/>
      <c r="D95" s="354"/>
      <c r="E95" s="354"/>
      <c r="F95" s="354"/>
      <c r="G95" s="354"/>
      <c r="H95" s="354"/>
      <c r="I95" s="354"/>
      <c r="J95" s="354"/>
      <c r="K95" s="354"/>
      <c r="L95" s="354"/>
      <c r="M95" s="354"/>
      <c r="N95" s="354"/>
      <c r="O95" s="131">
        <f t="shared" si="12"/>
        <v>0</v>
      </c>
      <c r="P95" s="355"/>
      <c r="Q95" s="131">
        <f t="shared" si="13"/>
        <v>0</v>
      </c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  <c r="BI95" s="148"/>
      <c r="BJ95" s="148"/>
      <c r="BK95" s="148"/>
      <c r="BL95" s="148"/>
    </row>
    <row r="96" spans="1:64" x14ac:dyDescent="0.2">
      <c r="A96" s="132">
        <v>2.8</v>
      </c>
      <c r="B96" s="354"/>
      <c r="C96" s="354"/>
      <c r="D96" s="354"/>
      <c r="E96" s="354"/>
      <c r="F96" s="354"/>
      <c r="G96" s="354"/>
      <c r="H96" s="354"/>
      <c r="I96" s="354"/>
      <c r="J96" s="354"/>
      <c r="K96" s="354"/>
      <c r="L96" s="354"/>
      <c r="M96" s="354"/>
      <c r="N96" s="354"/>
      <c r="O96" s="131">
        <f t="shared" si="12"/>
        <v>0</v>
      </c>
      <c r="P96" s="355"/>
      <c r="Q96" s="131">
        <f t="shared" si="13"/>
        <v>0</v>
      </c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  <c r="BI96" s="148"/>
      <c r="BJ96" s="148"/>
      <c r="BK96" s="148"/>
      <c r="BL96" s="148"/>
    </row>
    <row r="97" spans="1:64" x14ac:dyDescent="0.2">
      <c r="A97" s="132">
        <v>3.2</v>
      </c>
      <c r="B97" s="354"/>
      <c r="C97" s="354"/>
      <c r="D97" s="354"/>
      <c r="E97" s="354"/>
      <c r="F97" s="354"/>
      <c r="G97" s="354"/>
      <c r="H97" s="354"/>
      <c r="I97" s="354"/>
      <c r="J97" s="354"/>
      <c r="K97" s="354"/>
      <c r="L97" s="354"/>
      <c r="M97" s="354"/>
      <c r="N97" s="354"/>
      <c r="O97" s="131">
        <f t="shared" si="12"/>
        <v>0</v>
      </c>
      <c r="P97" s="355"/>
      <c r="Q97" s="131">
        <f t="shared" si="13"/>
        <v>0</v>
      </c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  <c r="BI97" s="148"/>
      <c r="BJ97" s="148"/>
      <c r="BK97" s="148"/>
      <c r="BL97" s="148"/>
    </row>
    <row r="98" spans="1:64" x14ac:dyDescent="0.2">
      <c r="A98" s="132">
        <v>3.6</v>
      </c>
      <c r="B98" s="354"/>
      <c r="C98" s="354"/>
      <c r="D98" s="354"/>
      <c r="E98" s="354"/>
      <c r="F98" s="354"/>
      <c r="G98" s="354"/>
      <c r="H98" s="354"/>
      <c r="I98" s="354"/>
      <c r="J98" s="354"/>
      <c r="K98" s="354"/>
      <c r="L98" s="354"/>
      <c r="M98" s="354"/>
      <c r="N98" s="354"/>
      <c r="O98" s="131">
        <f t="shared" si="12"/>
        <v>0</v>
      </c>
      <c r="P98" s="355"/>
      <c r="Q98" s="131">
        <f t="shared" si="13"/>
        <v>0</v>
      </c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  <c r="BI98" s="148"/>
      <c r="BJ98" s="148"/>
      <c r="BK98" s="148"/>
      <c r="BL98" s="148"/>
    </row>
    <row r="99" spans="1:64" x14ac:dyDescent="0.2">
      <c r="A99" s="132">
        <v>3.8</v>
      </c>
      <c r="B99" s="354"/>
      <c r="C99" s="354"/>
      <c r="D99" s="354"/>
      <c r="E99" s="354"/>
      <c r="F99" s="354"/>
      <c r="G99" s="354"/>
      <c r="H99" s="354"/>
      <c r="I99" s="354"/>
      <c r="J99" s="354"/>
      <c r="K99" s="354"/>
      <c r="L99" s="354"/>
      <c r="M99" s="354"/>
      <c r="N99" s="354"/>
      <c r="O99" s="131">
        <f>SUM(B99:N99)</f>
        <v>0</v>
      </c>
      <c r="P99" s="355"/>
      <c r="Q99" s="131">
        <f>O99-P99</f>
        <v>0</v>
      </c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  <c r="BI99" s="148"/>
      <c r="BJ99" s="148"/>
      <c r="BK99" s="148"/>
      <c r="BL99" s="148"/>
    </row>
    <row r="100" spans="1:64" x14ac:dyDescent="0.2">
      <c r="A100" s="132">
        <v>4</v>
      </c>
      <c r="B100" s="354"/>
      <c r="C100" s="354"/>
      <c r="D100" s="354"/>
      <c r="E100" s="354"/>
      <c r="F100" s="354"/>
      <c r="G100" s="354"/>
      <c r="H100" s="354"/>
      <c r="I100" s="354"/>
      <c r="J100" s="354"/>
      <c r="K100" s="354"/>
      <c r="L100" s="354"/>
      <c r="M100" s="354"/>
      <c r="N100" s="354"/>
      <c r="O100" s="131">
        <f t="shared" ref="O100:O108" si="14">SUM(B100:N100)</f>
        <v>0</v>
      </c>
      <c r="P100" s="355"/>
      <c r="Q100" s="131">
        <f t="shared" ref="Q100:Q108" si="15">O100-P100</f>
        <v>0</v>
      </c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</row>
    <row r="101" spans="1:64" x14ac:dyDescent="0.2">
      <c r="A101" s="132">
        <v>4.4000000000000004</v>
      </c>
      <c r="B101" s="354"/>
      <c r="C101" s="354"/>
      <c r="D101" s="354"/>
      <c r="E101" s="354"/>
      <c r="F101" s="354"/>
      <c r="G101" s="354"/>
      <c r="H101" s="354"/>
      <c r="I101" s="354"/>
      <c r="J101" s="354"/>
      <c r="K101" s="354"/>
      <c r="L101" s="354"/>
      <c r="M101" s="354"/>
      <c r="N101" s="354"/>
      <c r="O101" s="131">
        <f t="shared" si="14"/>
        <v>0</v>
      </c>
      <c r="P101" s="355"/>
      <c r="Q101" s="131">
        <f t="shared" si="15"/>
        <v>0</v>
      </c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  <c r="BI101" s="148"/>
      <c r="BJ101" s="148"/>
      <c r="BK101" s="148"/>
      <c r="BL101" s="148"/>
    </row>
    <row r="102" spans="1:64" x14ac:dyDescent="0.2">
      <c r="A102" s="132">
        <v>4.8</v>
      </c>
      <c r="B102" s="354"/>
      <c r="C102" s="354"/>
      <c r="D102" s="354"/>
      <c r="E102" s="354"/>
      <c r="F102" s="354"/>
      <c r="G102" s="354"/>
      <c r="H102" s="354"/>
      <c r="I102" s="354"/>
      <c r="J102" s="354"/>
      <c r="K102" s="354"/>
      <c r="L102" s="354"/>
      <c r="M102" s="354"/>
      <c r="N102" s="354"/>
      <c r="O102" s="131">
        <f t="shared" si="14"/>
        <v>0</v>
      </c>
      <c r="P102" s="355"/>
      <c r="Q102" s="131">
        <f t="shared" si="15"/>
        <v>0</v>
      </c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</row>
    <row r="103" spans="1:64" x14ac:dyDescent="0.2">
      <c r="A103" s="132">
        <v>5</v>
      </c>
      <c r="B103" s="354"/>
      <c r="C103" s="354"/>
      <c r="D103" s="354"/>
      <c r="E103" s="354"/>
      <c r="F103" s="354"/>
      <c r="G103" s="354"/>
      <c r="H103" s="354"/>
      <c r="I103" s="354"/>
      <c r="J103" s="354"/>
      <c r="K103" s="354"/>
      <c r="L103" s="354"/>
      <c r="M103" s="354"/>
      <c r="N103" s="354"/>
      <c r="O103" s="131">
        <f t="shared" si="14"/>
        <v>0</v>
      </c>
      <c r="P103" s="355"/>
      <c r="Q103" s="131">
        <f t="shared" si="15"/>
        <v>0</v>
      </c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  <c r="BI103" s="148"/>
      <c r="BJ103" s="148"/>
      <c r="BK103" s="148"/>
      <c r="BL103" s="148"/>
    </row>
    <row r="104" spans="1:64" x14ac:dyDescent="0.2">
      <c r="A104" s="132">
        <v>5.4</v>
      </c>
      <c r="B104" s="354"/>
      <c r="C104" s="354"/>
      <c r="D104" s="354"/>
      <c r="E104" s="354"/>
      <c r="F104" s="354"/>
      <c r="G104" s="354"/>
      <c r="H104" s="354"/>
      <c r="I104" s="354"/>
      <c r="J104" s="354"/>
      <c r="K104" s="354"/>
      <c r="L104" s="354"/>
      <c r="M104" s="354"/>
      <c r="N104" s="354"/>
      <c r="O104" s="131">
        <f t="shared" si="14"/>
        <v>0</v>
      </c>
      <c r="P104" s="355"/>
      <c r="Q104" s="131">
        <f t="shared" si="15"/>
        <v>0</v>
      </c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</row>
    <row r="105" spans="1:64" x14ac:dyDescent="0.2">
      <c r="A105" s="132">
        <v>5.8</v>
      </c>
      <c r="B105" s="354"/>
      <c r="C105" s="354"/>
      <c r="D105" s="354"/>
      <c r="E105" s="354"/>
      <c r="F105" s="354"/>
      <c r="G105" s="354"/>
      <c r="H105" s="354"/>
      <c r="I105" s="354"/>
      <c r="J105" s="354"/>
      <c r="K105" s="354"/>
      <c r="L105" s="354"/>
      <c r="M105" s="354"/>
      <c r="N105" s="354"/>
      <c r="O105" s="131">
        <f t="shared" si="14"/>
        <v>0</v>
      </c>
      <c r="P105" s="355"/>
      <c r="Q105" s="131">
        <f t="shared" si="15"/>
        <v>0</v>
      </c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</row>
    <row r="106" spans="1:64" x14ac:dyDescent="0.2">
      <c r="A106" s="132">
        <v>6</v>
      </c>
      <c r="B106" s="354"/>
      <c r="C106" s="354"/>
      <c r="D106" s="354"/>
      <c r="E106" s="354"/>
      <c r="F106" s="354"/>
      <c r="G106" s="354"/>
      <c r="H106" s="354"/>
      <c r="I106" s="354"/>
      <c r="J106" s="354"/>
      <c r="K106" s="354"/>
      <c r="L106" s="354"/>
      <c r="M106" s="354"/>
      <c r="N106" s="354"/>
      <c r="O106" s="131">
        <f t="shared" si="14"/>
        <v>0</v>
      </c>
      <c r="P106" s="355"/>
      <c r="Q106" s="131">
        <f t="shared" si="15"/>
        <v>0</v>
      </c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48"/>
      <c r="BJ106" s="148"/>
      <c r="BK106" s="148"/>
      <c r="BL106" s="148"/>
    </row>
    <row r="107" spans="1:64" x14ac:dyDescent="0.2">
      <c r="A107" s="132">
        <v>6.4</v>
      </c>
      <c r="B107" s="354"/>
      <c r="C107" s="354"/>
      <c r="D107" s="354"/>
      <c r="E107" s="354"/>
      <c r="F107" s="354"/>
      <c r="G107" s="354"/>
      <c r="H107" s="354"/>
      <c r="I107" s="354"/>
      <c r="J107" s="354"/>
      <c r="K107" s="354"/>
      <c r="L107" s="354"/>
      <c r="M107" s="354"/>
      <c r="N107" s="354"/>
      <c r="O107" s="131">
        <f t="shared" si="14"/>
        <v>0</v>
      </c>
      <c r="P107" s="355"/>
      <c r="Q107" s="131">
        <f t="shared" si="15"/>
        <v>0</v>
      </c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  <c r="BI107" s="148"/>
      <c r="BJ107" s="148"/>
      <c r="BK107" s="148"/>
      <c r="BL107" s="148"/>
    </row>
    <row r="108" spans="1:64" x14ac:dyDescent="0.2">
      <c r="A108" s="132">
        <v>6.8</v>
      </c>
      <c r="B108" s="354"/>
      <c r="C108" s="354"/>
      <c r="D108" s="354"/>
      <c r="E108" s="354"/>
      <c r="F108" s="354"/>
      <c r="G108" s="354"/>
      <c r="H108" s="354"/>
      <c r="I108" s="354"/>
      <c r="J108" s="354"/>
      <c r="K108" s="354"/>
      <c r="L108" s="354"/>
      <c r="M108" s="354"/>
      <c r="N108" s="354"/>
      <c r="O108" s="131">
        <f t="shared" si="14"/>
        <v>0</v>
      </c>
      <c r="P108" s="355"/>
      <c r="Q108" s="131">
        <f t="shared" si="15"/>
        <v>0</v>
      </c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  <c r="BI108" s="148"/>
      <c r="BJ108" s="148"/>
      <c r="BK108" s="148"/>
      <c r="BL108" s="148"/>
    </row>
    <row r="109" spans="1:64" x14ac:dyDescent="0.2">
      <c r="A109" s="132">
        <v>7.2</v>
      </c>
      <c r="B109" s="354"/>
      <c r="C109" s="354"/>
      <c r="D109" s="354"/>
      <c r="E109" s="354"/>
      <c r="F109" s="354"/>
      <c r="G109" s="354"/>
      <c r="H109" s="354"/>
      <c r="I109" s="354"/>
      <c r="J109" s="354"/>
      <c r="K109" s="354"/>
      <c r="L109" s="354"/>
      <c r="M109" s="354"/>
      <c r="N109" s="354"/>
      <c r="O109" s="131">
        <f>SUM(B109:N109)</f>
        <v>0</v>
      </c>
      <c r="P109" s="355"/>
      <c r="Q109" s="131">
        <f>O109-P109</f>
        <v>0</v>
      </c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  <c r="BI109" s="148"/>
      <c r="BJ109" s="148"/>
      <c r="BK109" s="148"/>
      <c r="BL109" s="148"/>
    </row>
    <row r="110" spans="1:64" x14ac:dyDescent="0.2">
      <c r="A110" s="132">
        <v>7.6</v>
      </c>
      <c r="B110" s="354"/>
      <c r="C110" s="354"/>
      <c r="D110" s="354"/>
      <c r="E110" s="354"/>
      <c r="F110" s="354"/>
      <c r="G110" s="354"/>
      <c r="H110" s="354"/>
      <c r="I110" s="354"/>
      <c r="J110" s="354"/>
      <c r="K110" s="354"/>
      <c r="L110" s="354"/>
      <c r="M110" s="354"/>
      <c r="N110" s="354"/>
      <c r="O110" s="131">
        <f>SUM(B110:N110)</f>
        <v>0</v>
      </c>
      <c r="P110" s="355"/>
      <c r="Q110" s="131">
        <f>O110-P110</f>
        <v>0</v>
      </c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  <c r="BI110" s="148"/>
      <c r="BJ110" s="148"/>
      <c r="BK110" s="148"/>
      <c r="BL110" s="148"/>
    </row>
    <row r="111" spans="1:64" x14ac:dyDescent="0.2">
      <c r="A111" s="132">
        <v>8</v>
      </c>
      <c r="B111" s="354"/>
      <c r="C111" s="354"/>
      <c r="D111" s="354"/>
      <c r="E111" s="354"/>
      <c r="F111" s="354"/>
      <c r="G111" s="354"/>
      <c r="H111" s="354"/>
      <c r="I111" s="354"/>
      <c r="J111" s="354"/>
      <c r="K111" s="354"/>
      <c r="L111" s="354"/>
      <c r="M111" s="354"/>
      <c r="N111" s="354"/>
      <c r="O111" s="131">
        <f>SUM(B111:N111)</f>
        <v>0</v>
      </c>
      <c r="P111" s="355"/>
      <c r="Q111" s="131">
        <f>O111-P111</f>
        <v>0</v>
      </c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  <c r="BI111" s="148"/>
      <c r="BJ111" s="148"/>
      <c r="BK111" s="148"/>
      <c r="BL111" s="148"/>
    </row>
    <row r="112" spans="1:64" x14ac:dyDescent="0.2">
      <c r="A112" s="148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  <c r="BI112" s="148"/>
      <c r="BJ112" s="148"/>
      <c r="BK112" s="148"/>
      <c r="BL112" s="148"/>
    </row>
    <row r="113" spans="1:64" x14ac:dyDescent="0.2">
      <c r="A113" s="148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  <c r="BI113" s="148"/>
      <c r="BJ113" s="148"/>
      <c r="BK113" s="148"/>
      <c r="BL113" s="148"/>
    </row>
    <row r="114" spans="1:64" x14ac:dyDescent="0.2">
      <c r="A114" s="733" t="s">
        <v>527</v>
      </c>
      <c r="B114" s="717"/>
      <c r="C114" s="717"/>
      <c r="D114" s="717"/>
      <c r="E114" s="717"/>
      <c r="F114" s="717"/>
      <c r="G114" s="717"/>
      <c r="H114" s="717"/>
      <c r="I114" s="717"/>
      <c r="J114" s="717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  <c r="BI114" s="148"/>
      <c r="BJ114" s="148"/>
      <c r="BK114" s="148"/>
      <c r="BL114" s="148"/>
    </row>
    <row r="115" spans="1:64" x14ac:dyDescent="0.2">
      <c r="B115" s="148" t="s">
        <v>252</v>
      </c>
      <c r="C115" s="148"/>
      <c r="D115" s="148"/>
      <c r="E115" s="148"/>
      <c r="F115" s="148"/>
      <c r="G115" s="148"/>
      <c r="H115" s="148"/>
      <c r="I115" s="148"/>
      <c r="J115" s="120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</row>
    <row r="116" spans="1:64" x14ac:dyDescent="0.2">
      <c r="A116" s="148"/>
      <c r="B116" s="734"/>
      <c r="C116" s="734"/>
      <c r="D116" s="734"/>
      <c r="E116" s="734"/>
      <c r="F116" s="734"/>
      <c r="G116" s="734"/>
      <c r="H116" s="734"/>
      <c r="I116" s="734"/>
      <c r="J116" s="734"/>
      <c r="K116" s="734"/>
      <c r="L116" s="734"/>
      <c r="M116" s="734"/>
      <c r="N116" s="734"/>
      <c r="O116" s="734"/>
      <c r="P116" s="734"/>
      <c r="Q116" s="391" t="s">
        <v>253</v>
      </c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</row>
    <row r="117" spans="1:64" x14ac:dyDescent="0.2">
      <c r="A117" s="740" t="s">
        <v>158</v>
      </c>
      <c r="B117" s="739"/>
      <c r="C117" s="739"/>
      <c r="D117" s="739"/>
      <c r="E117" s="739"/>
      <c r="F117" s="739"/>
      <c r="G117" s="739"/>
      <c r="H117" s="739"/>
      <c r="I117" s="739"/>
      <c r="J117" s="739"/>
      <c r="K117" s="739"/>
      <c r="L117" s="739"/>
      <c r="M117" s="739"/>
      <c r="N117" s="739"/>
      <c r="O117" s="739"/>
      <c r="P117" s="739"/>
      <c r="Q117" s="732">
        <f>SUM(B117:P117)</f>
        <v>0</v>
      </c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</row>
    <row r="118" spans="1:64" x14ac:dyDescent="0.2">
      <c r="A118" s="148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48"/>
      <c r="BJ118" s="148"/>
      <c r="BK118" s="148"/>
      <c r="BL118" s="148"/>
    </row>
    <row r="119" spans="1:64" x14ac:dyDescent="0.2">
      <c r="A119" s="148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48"/>
      <c r="BJ119" s="148"/>
      <c r="BK119" s="148"/>
      <c r="BL119" s="148"/>
    </row>
    <row r="120" spans="1:64" x14ac:dyDescent="0.2">
      <c r="A120" s="148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  <c r="BI120" s="148"/>
      <c r="BJ120" s="148"/>
      <c r="BK120" s="148"/>
      <c r="BL120" s="148"/>
    </row>
    <row r="121" spans="1:64" x14ac:dyDescent="0.2">
      <c r="A121" s="148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</row>
    <row r="122" spans="1:64" x14ac:dyDescent="0.2">
      <c r="A122" s="148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</row>
    <row r="123" spans="1:64" x14ac:dyDescent="0.2">
      <c r="A123" s="148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48"/>
      <c r="BJ123" s="148"/>
      <c r="BK123" s="148"/>
      <c r="BL123" s="148"/>
    </row>
    <row r="124" spans="1:64" x14ac:dyDescent="0.2">
      <c r="A124" s="148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  <c r="BI124" s="148"/>
      <c r="BJ124" s="148"/>
      <c r="BK124" s="148"/>
      <c r="BL124" s="148"/>
    </row>
    <row r="125" spans="1:64" x14ac:dyDescent="0.2">
      <c r="A125" s="148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  <c r="BI125" s="148"/>
      <c r="BJ125" s="148"/>
      <c r="BK125" s="148"/>
      <c r="BL125" s="148"/>
    </row>
    <row r="126" spans="1:64" x14ac:dyDescent="0.2">
      <c r="A126" s="148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  <c r="BI126" s="148"/>
      <c r="BJ126" s="148"/>
      <c r="BK126" s="148"/>
      <c r="BL126" s="148"/>
    </row>
    <row r="127" spans="1:64" x14ac:dyDescent="0.2">
      <c r="A127" s="148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  <c r="BI127" s="148"/>
      <c r="BJ127" s="148"/>
      <c r="BK127" s="148"/>
      <c r="BL127" s="148"/>
    </row>
    <row r="128" spans="1:64" x14ac:dyDescent="0.2">
      <c r="A128" s="148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  <c r="BI128" s="148"/>
      <c r="BJ128" s="148"/>
      <c r="BK128" s="148"/>
      <c r="BL128" s="148"/>
    </row>
    <row r="129" spans="1:64" x14ac:dyDescent="0.2">
      <c r="A129" s="148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  <c r="BI129" s="148"/>
      <c r="BJ129" s="148"/>
      <c r="BK129" s="148"/>
      <c r="BL129" s="148"/>
    </row>
    <row r="130" spans="1:64" x14ac:dyDescent="0.2">
      <c r="A130" s="148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  <c r="BI130" s="148"/>
      <c r="BJ130" s="148"/>
      <c r="BK130" s="148"/>
      <c r="BL130" s="148"/>
    </row>
    <row r="131" spans="1:64" x14ac:dyDescent="0.2">
      <c r="A131" s="148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  <c r="BI131" s="148"/>
      <c r="BJ131" s="148"/>
      <c r="BK131" s="148"/>
      <c r="BL131" s="148"/>
    </row>
    <row r="132" spans="1:64" x14ac:dyDescent="0.2">
      <c r="A132" s="148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  <c r="BI132" s="148"/>
      <c r="BJ132" s="148"/>
      <c r="BK132" s="148"/>
      <c r="BL132" s="148"/>
    </row>
    <row r="133" spans="1:64" x14ac:dyDescent="0.2">
      <c r="A133" s="148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48"/>
      <c r="BJ133" s="148"/>
      <c r="BK133" s="148"/>
      <c r="BL133" s="148"/>
    </row>
    <row r="134" spans="1:64" x14ac:dyDescent="0.2">
      <c r="A134" s="148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</row>
    <row r="135" spans="1:64" x14ac:dyDescent="0.2">
      <c r="A135" s="148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</row>
    <row r="136" spans="1:64" x14ac:dyDescent="0.2">
      <c r="A136" s="148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</row>
    <row r="137" spans="1:64" x14ac:dyDescent="0.2">
      <c r="A137" s="148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</row>
    <row r="138" spans="1:64" x14ac:dyDescent="0.2">
      <c r="A138" s="148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</row>
    <row r="139" spans="1:64" x14ac:dyDescent="0.2">
      <c r="A139" s="148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</row>
    <row r="140" spans="1:64" x14ac:dyDescent="0.2">
      <c r="A140" s="148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</row>
    <row r="141" spans="1:64" x14ac:dyDescent="0.2">
      <c r="A141" s="148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</row>
    <row r="142" spans="1:64" x14ac:dyDescent="0.2">
      <c r="A142" s="148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  <c r="BI142" s="148"/>
      <c r="BJ142" s="148"/>
      <c r="BK142" s="148"/>
      <c r="BL142" s="148"/>
    </row>
    <row r="143" spans="1:64" x14ac:dyDescent="0.2">
      <c r="A143" s="148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  <c r="BI143" s="148"/>
      <c r="BJ143" s="148"/>
      <c r="BK143" s="148"/>
      <c r="BL143" s="148"/>
    </row>
    <row r="144" spans="1:64" x14ac:dyDescent="0.2">
      <c r="A144" s="148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  <c r="BI144" s="148"/>
      <c r="BJ144" s="148"/>
      <c r="BK144" s="148"/>
      <c r="BL144" s="148"/>
    </row>
    <row r="145" spans="1:64" x14ac:dyDescent="0.2">
      <c r="A145" s="148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  <c r="BI145" s="148"/>
      <c r="BJ145" s="148"/>
      <c r="BK145" s="148"/>
      <c r="BL145" s="148"/>
    </row>
    <row r="146" spans="1:64" x14ac:dyDescent="0.2">
      <c r="A146" s="148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  <c r="BI146" s="148"/>
      <c r="BJ146" s="148"/>
      <c r="BK146" s="148"/>
      <c r="BL146" s="148"/>
    </row>
    <row r="147" spans="1:64" x14ac:dyDescent="0.2">
      <c r="A147" s="148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  <c r="BI147" s="148"/>
      <c r="BJ147" s="148"/>
      <c r="BK147" s="148"/>
      <c r="BL147" s="148"/>
    </row>
    <row r="148" spans="1:64" x14ac:dyDescent="0.2">
      <c r="A148" s="148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  <c r="BI148" s="148"/>
      <c r="BJ148" s="148"/>
      <c r="BK148" s="148"/>
      <c r="BL148" s="148"/>
    </row>
    <row r="149" spans="1:64" x14ac:dyDescent="0.2">
      <c r="A149" s="148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  <c r="BI149" s="148"/>
      <c r="BJ149" s="148"/>
      <c r="BK149" s="148"/>
      <c r="BL149" s="148"/>
    </row>
    <row r="150" spans="1:64" x14ac:dyDescent="0.2">
      <c r="A150" s="148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  <c r="BI150" s="148"/>
      <c r="BJ150" s="148"/>
      <c r="BK150" s="148"/>
      <c r="BL150" s="148"/>
    </row>
    <row r="151" spans="1:64" x14ac:dyDescent="0.2">
      <c r="A151" s="148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  <c r="BI151" s="148"/>
      <c r="BJ151" s="148"/>
      <c r="BK151" s="148"/>
      <c r="BL151" s="148"/>
    </row>
    <row r="152" spans="1:64" x14ac:dyDescent="0.2">
      <c r="A152" s="148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48"/>
      <c r="BJ152" s="148"/>
      <c r="BK152" s="148"/>
      <c r="BL152" s="148"/>
    </row>
    <row r="153" spans="1:64" x14ac:dyDescent="0.2">
      <c r="A153" s="148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  <c r="BI153" s="148"/>
      <c r="BJ153" s="148"/>
      <c r="BK153" s="148"/>
      <c r="BL153" s="148"/>
    </row>
    <row r="154" spans="1:64" x14ac:dyDescent="0.2">
      <c r="A154" s="148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</row>
    <row r="155" spans="1:64" x14ac:dyDescent="0.2">
      <c r="A155" s="148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</row>
    <row r="156" spans="1:64" x14ac:dyDescent="0.2">
      <c r="A156" s="148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</row>
    <row r="157" spans="1:64" x14ac:dyDescent="0.2">
      <c r="A157" s="148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</row>
    <row r="158" spans="1:64" x14ac:dyDescent="0.2">
      <c r="A158" s="148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</row>
    <row r="159" spans="1:64" x14ac:dyDescent="0.2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</row>
    <row r="160" spans="1:64" x14ac:dyDescent="0.2">
      <c r="A160" s="148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  <c r="BI160" s="148"/>
      <c r="BJ160" s="148"/>
      <c r="BK160" s="148"/>
      <c r="BL160" s="148"/>
    </row>
    <row r="161" spans="1:64" x14ac:dyDescent="0.2">
      <c r="A161" s="148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  <c r="BI161" s="148"/>
      <c r="BJ161" s="148"/>
      <c r="BK161" s="148"/>
      <c r="BL161" s="148"/>
    </row>
    <row r="162" spans="1:64" x14ac:dyDescent="0.2">
      <c r="A162" s="148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  <c r="BI162" s="148"/>
      <c r="BJ162" s="148"/>
      <c r="BK162" s="148"/>
      <c r="BL162" s="148"/>
    </row>
    <row r="163" spans="1:64" x14ac:dyDescent="0.2">
      <c r="A163" s="148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  <c r="BI163" s="148"/>
      <c r="BJ163" s="148"/>
      <c r="BK163" s="148"/>
      <c r="BL163" s="148"/>
    </row>
    <row r="164" spans="1:64" x14ac:dyDescent="0.2">
      <c r="A164" s="148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  <c r="BI164" s="148"/>
      <c r="BJ164" s="148"/>
      <c r="BK164" s="148"/>
      <c r="BL164" s="148"/>
    </row>
    <row r="165" spans="1:64" x14ac:dyDescent="0.2">
      <c r="A165" s="148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  <c r="BI165" s="148"/>
      <c r="BJ165" s="148"/>
      <c r="BK165" s="148"/>
      <c r="BL165" s="148"/>
    </row>
    <row r="166" spans="1:64" x14ac:dyDescent="0.2">
      <c r="A166" s="148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  <c r="BI166" s="148"/>
      <c r="BJ166" s="148"/>
      <c r="BK166" s="148"/>
      <c r="BL166" s="148"/>
    </row>
    <row r="167" spans="1:64" x14ac:dyDescent="0.2">
      <c r="A167" s="148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  <c r="BI167" s="148"/>
      <c r="BJ167" s="148"/>
      <c r="BK167" s="148"/>
      <c r="BL167" s="148"/>
    </row>
    <row r="168" spans="1:64" x14ac:dyDescent="0.2">
      <c r="A168" s="148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  <c r="BI168" s="148"/>
      <c r="BJ168" s="148"/>
      <c r="BK168" s="148"/>
      <c r="BL168" s="148"/>
    </row>
    <row r="169" spans="1:64" x14ac:dyDescent="0.2">
      <c r="A169" s="148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  <c r="BI169" s="148"/>
      <c r="BJ169" s="148"/>
      <c r="BK169" s="148"/>
      <c r="BL169" s="148"/>
    </row>
    <row r="170" spans="1:64" x14ac:dyDescent="0.2">
      <c r="A170" s="148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  <c r="BI170" s="148"/>
      <c r="BJ170" s="148"/>
      <c r="BK170" s="148"/>
      <c r="BL170" s="148"/>
    </row>
    <row r="171" spans="1:64" x14ac:dyDescent="0.2">
      <c r="A171" s="148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  <c r="BI171" s="148"/>
      <c r="BJ171" s="148"/>
      <c r="BK171" s="148"/>
      <c r="BL171" s="148"/>
    </row>
    <row r="172" spans="1:64" x14ac:dyDescent="0.2">
      <c r="A172" s="148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  <c r="BI172" s="148"/>
      <c r="BJ172" s="148"/>
      <c r="BK172" s="148"/>
      <c r="BL172" s="148"/>
    </row>
    <row r="173" spans="1:64" x14ac:dyDescent="0.2">
      <c r="A173" s="148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  <c r="BI173" s="148"/>
      <c r="BJ173" s="148"/>
      <c r="BK173" s="148"/>
      <c r="BL173" s="148"/>
    </row>
    <row r="174" spans="1:64" x14ac:dyDescent="0.2">
      <c r="A174" s="148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  <c r="BI174" s="148"/>
      <c r="BJ174" s="148"/>
      <c r="BK174" s="148"/>
      <c r="BL174" s="148"/>
    </row>
    <row r="175" spans="1:64" x14ac:dyDescent="0.2">
      <c r="A175" s="148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  <c r="BI175" s="148"/>
      <c r="BJ175" s="148"/>
      <c r="BK175" s="148"/>
      <c r="BL175" s="148"/>
    </row>
    <row r="176" spans="1:64" x14ac:dyDescent="0.2">
      <c r="A176" s="148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  <c r="BI176" s="148"/>
      <c r="BJ176" s="148"/>
      <c r="BK176" s="148"/>
      <c r="BL176" s="148"/>
    </row>
    <row r="177" spans="1:64" x14ac:dyDescent="0.2">
      <c r="A177" s="148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  <c r="BI177" s="148"/>
      <c r="BJ177" s="148"/>
      <c r="BK177" s="148"/>
      <c r="BL177" s="148"/>
    </row>
    <row r="178" spans="1:64" x14ac:dyDescent="0.2">
      <c r="A178" s="148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  <c r="BI178" s="148"/>
      <c r="BJ178" s="148"/>
      <c r="BK178" s="148"/>
      <c r="BL178" s="148"/>
    </row>
    <row r="179" spans="1:64" x14ac:dyDescent="0.2">
      <c r="A179" s="148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148"/>
    </row>
    <row r="180" spans="1:64" x14ac:dyDescent="0.2">
      <c r="A180" s="148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</row>
    <row r="181" spans="1:64" x14ac:dyDescent="0.2">
      <c r="A181" s="148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</row>
    <row r="182" spans="1:64" x14ac:dyDescent="0.2">
      <c r="A182" s="148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  <c r="BI182" s="148"/>
      <c r="BJ182" s="148"/>
      <c r="BK182" s="148"/>
      <c r="BL182" s="148"/>
    </row>
    <row r="183" spans="1:64" x14ac:dyDescent="0.2">
      <c r="A183" s="148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  <c r="BI183" s="148"/>
      <c r="BJ183" s="148"/>
      <c r="BK183" s="148"/>
      <c r="BL183" s="148"/>
    </row>
    <row r="184" spans="1:64" x14ac:dyDescent="0.2">
      <c r="A184" s="148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  <c r="BI184" s="148"/>
      <c r="BJ184" s="148"/>
      <c r="BK184" s="148"/>
      <c r="BL184" s="148"/>
    </row>
    <row r="185" spans="1:64" x14ac:dyDescent="0.2">
      <c r="A185" s="148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  <c r="BI185" s="148"/>
      <c r="BJ185" s="148"/>
      <c r="BK185" s="148"/>
      <c r="BL185" s="148"/>
    </row>
    <row r="186" spans="1:64" x14ac:dyDescent="0.2">
      <c r="A186" s="148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  <c r="BI186" s="148"/>
      <c r="BJ186" s="148"/>
      <c r="BK186" s="148"/>
      <c r="BL186" s="148"/>
    </row>
    <row r="187" spans="1:64" x14ac:dyDescent="0.2">
      <c r="A187" s="148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  <c r="BI187" s="148"/>
      <c r="BJ187" s="148"/>
      <c r="BK187" s="148"/>
      <c r="BL187" s="148"/>
    </row>
    <row r="188" spans="1:64" x14ac:dyDescent="0.2">
      <c r="A188" s="148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</row>
    <row r="189" spans="1:64" x14ac:dyDescent="0.2">
      <c r="A189" s="148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</row>
    <row r="190" spans="1:64" x14ac:dyDescent="0.2">
      <c r="A190" s="148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</row>
    <row r="191" spans="1:64" x14ac:dyDescent="0.2">
      <c r="A191" s="148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</row>
    <row r="192" spans="1:64" x14ac:dyDescent="0.2">
      <c r="A192" s="148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</row>
    <row r="193" spans="1:64" x14ac:dyDescent="0.2">
      <c r="A193" s="148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</row>
    <row r="194" spans="1:64" x14ac:dyDescent="0.2">
      <c r="A194" s="148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</row>
    <row r="195" spans="1:64" x14ac:dyDescent="0.2">
      <c r="A195" s="148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</row>
    <row r="196" spans="1:64" x14ac:dyDescent="0.2">
      <c r="A196" s="148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48"/>
      <c r="BJ196" s="148"/>
      <c r="BK196" s="148"/>
      <c r="BL196" s="148"/>
    </row>
    <row r="197" spans="1:64" x14ac:dyDescent="0.2">
      <c r="A197" s="148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  <c r="BI197" s="148"/>
      <c r="BJ197" s="148"/>
      <c r="BK197" s="148"/>
      <c r="BL197" s="148"/>
    </row>
    <row r="198" spans="1:64" x14ac:dyDescent="0.2">
      <c r="A198" s="148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</row>
    <row r="199" spans="1:64" x14ac:dyDescent="0.2">
      <c r="A199" s="148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  <c r="BI199" s="148"/>
      <c r="BJ199" s="148"/>
      <c r="BK199" s="148"/>
      <c r="BL199" s="148"/>
    </row>
    <row r="200" spans="1:64" x14ac:dyDescent="0.2">
      <c r="A200" s="148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  <c r="BI200" s="148"/>
      <c r="BJ200" s="148"/>
      <c r="BK200" s="148"/>
      <c r="BL200" s="148"/>
    </row>
    <row r="201" spans="1:64" x14ac:dyDescent="0.2">
      <c r="A201" s="148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  <c r="BI201" s="148"/>
      <c r="BJ201" s="148"/>
      <c r="BK201" s="148"/>
      <c r="BL201" s="148"/>
    </row>
    <row r="202" spans="1:64" x14ac:dyDescent="0.2">
      <c r="A202" s="148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</row>
    <row r="203" spans="1:64" x14ac:dyDescent="0.2">
      <c r="A203" s="148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  <c r="BI203" s="148"/>
      <c r="BJ203" s="148"/>
      <c r="BK203" s="148"/>
      <c r="BL203" s="148"/>
    </row>
    <row r="204" spans="1:64" x14ac:dyDescent="0.2">
      <c r="A204" s="148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  <c r="BI204" s="148"/>
      <c r="BJ204" s="148"/>
      <c r="BK204" s="148"/>
      <c r="BL204" s="148"/>
    </row>
    <row r="205" spans="1:64" x14ac:dyDescent="0.2">
      <c r="A205" s="148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</row>
    <row r="206" spans="1:64" x14ac:dyDescent="0.2">
      <c r="A206" s="148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</row>
    <row r="207" spans="1:64" x14ac:dyDescent="0.2">
      <c r="A207" s="148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  <c r="BI207" s="148"/>
      <c r="BJ207" s="148"/>
      <c r="BK207" s="148"/>
      <c r="BL207" s="148"/>
    </row>
    <row r="208" spans="1:64" x14ac:dyDescent="0.2">
      <c r="A208" s="148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</row>
    <row r="209" spans="1:64" x14ac:dyDescent="0.2">
      <c r="A209" s="148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  <c r="BI209" s="148"/>
      <c r="BJ209" s="148"/>
      <c r="BK209" s="148"/>
      <c r="BL209" s="148"/>
    </row>
    <row r="210" spans="1:64" x14ac:dyDescent="0.2">
      <c r="A210" s="148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  <c r="BI210" s="148"/>
      <c r="BJ210" s="148"/>
      <c r="BK210" s="148"/>
      <c r="BL210" s="148"/>
    </row>
    <row r="211" spans="1:64" x14ac:dyDescent="0.2">
      <c r="A211" s="148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</row>
    <row r="212" spans="1:64" x14ac:dyDescent="0.2">
      <c r="A212" s="148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</row>
    <row r="213" spans="1:64" x14ac:dyDescent="0.2">
      <c r="A213" s="148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148"/>
    </row>
    <row r="214" spans="1:64" x14ac:dyDescent="0.2">
      <c r="A214" s="148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  <c r="BI214" s="148"/>
      <c r="BJ214" s="148"/>
      <c r="BK214" s="148"/>
      <c r="BL214" s="148"/>
    </row>
    <row r="215" spans="1:64" x14ac:dyDescent="0.2">
      <c r="A215" s="148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  <c r="BI215" s="148"/>
      <c r="BJ215" s="148"/>
      <c r="BK215" s="148"/>
      <c r="BL215" s="148"/>
    </row>
    <row r="216" spans="1:64" x14ac:dyDescent="0.2">
      <c r="A216" s="148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  <c r="BI216" s="148"/>
      <c r="BJ216" s="148"/>
      <c r="BK216" s="148"/>
      <c r="BL216" s="148"/>
    </row>
    <row r="217" spans="1:64" x14ac:dyDescent="0.2">
      <c r="A217" s="148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  <c r="BI217" s="148"/>
      <c r="BJ217" s="148"/>
      <c r="BK217" s="148"/>
      <c r="BL217" s="148"/>
    </row>
    <row r="218" spans="1:64" x14ac:dyDescent="0.2">
      <c r="A218" s="148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  <c r="BI218" s="148"/>
      <c r="BJ218" s="148"/>
      <c r="BK218" s="148"/>
      <c r="BL218" s="148"/>
    </row>
    <row r="219" spans="1:64" x14ac:dyDescent="0.2">
      <c r="A219" s="148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  <c r="BI219" s="148"/>
      <c r="BJ219" s="148"/>
      <c r="BK219" s="148"/>
      <c r="BL219" s="148"/>
    </row>
    <row r="220" spans="1:64" x14ac:dyDescent="0.2">
      <c r="A220" s="148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  <c r="BI220" s="148"/>
      <c r="BJ220" s="148"/>
      <c r="BK220" s="148"/>
      <c r="BL220" s="148"/>
    </row>
    <row r="221" spans="1:64" x14ac:dyDescent="0.2">
      <c r="A221" s="148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  <c r="BI221" s="148"/>
      <c r="BJ221" s="148"/>
      <c r="BK221" s="148"/>
      <c r="BL221" s="148"/>
    </row>
    <row r="222" spans="1:64" x14ac:dyDescent="0.2">
      <c r="A222" s="148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  <c r="BI222" s="148"/>
      <c r="BJ222" s="148"/>
      <c r="BK222" s="148"/>
      <c r="BL222" s="148"/>
    </row>
    <row r="223" spans="1:64" x14ac:dyDescent="0.2">
      <c r="A223" s="148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  <c r="BI223" s="148"/>
      <c r="BJ223" s="148"/>
      <c r="BK223" s="148"/>
      <c r="BL223" s="148"/>
    </row>
    <row r="224" spans="1:64" x14ac:dyDescent="0.2">
      <c r="A224" s="148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  <c r="BI224" s="148"/>
      <c r="BJ224" s="148"/>
      <c r="BK224" s="148"/>
      <c r="BL224" s="148"/>
    </row>
    <row r="225" spans="1:64" x14ac:dyDescent="0.2">
      <c r="A225" s="148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  <c r="BI225" s="148"/>
      <c r="BJ225" s="148"/>
      <c r="BK225" s="148"/>
      <c r="BL225" s="148"/>
    </row>
    <row r="226" spans="1:64" x14ac:dyDescent="0.2">
      <c r="A226" s="148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  <c r="BI226" s="148"/>
      <c r="BJ226" s="148"/>
      <c r="BK226" s="148"/>
      <c r="BL226" s="148"/>
    </row>
    <row r="227" spans="1:64" x14ac:dyDescent="0.2">
      <c r="A227" s="148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  <c r="BI227" s="148"/>
      <c r="BJ227" s="148"/>
      <c r="BK227" s="148"/>
      <c r="BL227" s="148"/>
    </row>
    <row r="228" spans="1:64" x14ac:dyDescent="0.2">
      <c r="A228" s="148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  <c r="BI228" s="148"/>
      <c r="BJ228" s="148"/>
      <c r="BK228" s="148"/>
      <c r="BL228" s="148"/>
    </row>
    <row r="229" spans="1:64" x14ac:dyDescent="0.2">
      <c r="A229" s="148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  <c r="BI229" s="148"/>
      <c r="BJ229" s="148"/>
      <c r="BK229" s="148"/>
      <c r="BL229" s="148"/>
    </row>
    <row r="230" spans="1:64" x14ac:dyDescent="0.2">
      <c r="A230" s="148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  <c r="BI230" s="148"/>
      <c r="BJ230" s="148"/>
      <c r="BK230" s="148"/>
      <c r="BL230" s="148"/>
    </row>
    <row r="231" spans="1:64" x14ac:dyDescent="0.2">
      <c r="A231" s="148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  <c r="BI231" s="148"/>
      <c r="BJ231" s="148"/>
      <c r="BK231" s="148"/>
      <c r="BL231" s="148"/>
    </row>
    <row r="232" spans="1:64" x14ac:dyDescent="0.2">
      <c r="A232" s="148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  <c r="BI232" s="148"/>
      <c r="BJ232" s="148"/>
      <c r="BK232" s="148"/>
      <c r="BL232" s="148"/>
    </row>
    <row r="233" spans="1:64" x14ac:dyDescent="0.2">
      <c r="A233" s="148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</row>
    <row r="234" spans="1:64" x14ac:dyDescent="0.2">
      <c r="A234" s="148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  <c r="BI234" s="148"/>
      <c r="BJ234" s="148"/>
      <c r="BK234" s="148"/>
      <c r="BL234" s="148"/>
    </row>
    <row r="235" spans="1:64" x14ac:dyDescent="0.2">
      <c r="A235" s="148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  <c r="BI235" s="148"/>
      <c r="BJ235" s="148"/>
      <c r="BK235" s="148"/>
      <c r="BL235" s="148"/>
    </row>
    <row r="236" spans="1:64" x14ac:dyDescent="0.2">
      <c r="A236" s="148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  <c r="BI236" s="148"/>
      <c r="BJ236" s="148"/>
      <c r="BK236" s="148"/>
      <c r="BL236" s="148"/>
    </row>
    <row r="237" spans="1:64" x14ac:dyDescent="0.2">
      <c r="A237" s="148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  <c r="BI237" s="148"/>
      <c r="BJ237" s="148"/>
      <c r="BK237" s="148"/>
      <c r="BL237" s="148"/>
    </row>
    <row r="238" spans="1:64" x14ac:dyDescent="0.2">
      <c r="A238" s="148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  <c r="BI238" s="148"/>
      <c r="BJ238" s="148"/>
      <c r="BK238" s="148"/>
      <c r="BL238" s="148"/>
    </row>
    <row r="239" spans="1:64" x14ac:dyDescent="0.2">
      <c r="A239" s="148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  <c r="BI239" s="148"/>
      <c r="BJ239" s="148"/>
      <c r="BK239" s="148"/>
      <c r="BL239" s="148"/>
    </row>
    <row r="240" spans="1:64" x14ac:dyDescent="0.2">
      <c r="A240" s="148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  <c r="BI240" s="148"/>
      <c r="BJ240" s="148"/>
      <c r="BK240" s="148"/>
      <c r="BL240" s="148"/>
    </row>
    <row r="241" spans="1:64" x14ac:dyDescent="0.2">
      <c r="A241" s="148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  <c r="BI241" s="148"/>
      <c r="BJ241" s="148"/>
      <c r="BK241" s="148"/>
      <c r="BL241" s="148"/>
    </row>
    <row r="242" spans="1:64" x14ac:dyDescent="0.2">
      <c r="A242" s="148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  <c r="BI242" s="148"/>
      <c r="BJ242" s="148"/>
      <c r="BK242" s="148"/>
      <c r="BL242" s="148"/>
    </row>
    <row r="243" spans="1:64" x14ac:dyDescent="0.2">
      <c r="A243" s="148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  <c r="BI243" s="148"/>
      <c r="BJ243" s="148"/>
      <c r="BK243" s="148"/>
      <c r="BL243" s="148"/>
    </row>
    <row r="244" spans="1:64" x14ac:dyDescent="0.2">
      <c r="A244" s="148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  <c r="BI244" s="148"/>
      <c r="BJ244" s="148"/>
      <c r="BK244" s="148"/>
      <c r="BL244" s="148"/>
    </row>
    <row r="245" spans="1:64" x14ac:dyDescent="0.2">
      <c r="A245" s="148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  <c r="BI245" s="148"/>
      <c r="BJ245" s="148"/>
      <c r="BK245" s="148"/>
      <c r="BL245" s="148"/>
    </row>
    <row r="246" spans="1:64" x14ac:dyDescent="0.2">
      <c r="A246" s="148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  <c r="BI246" s="148"/>
      <c r="BJ246" s="148"/>
      <c r="BK246" s="148"/>
      <c r="BL246" s="148"/>
    </row>
    <row r="247" spans="1:64" x14ac:dyDescent="0.2">
      <c r="A247" s="148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  <c r="BI247" s="148"/>
      <c r="BJ247" s="148"/>
      <c r="BK247" s="148"/>
      <c r="BL247" s="148"/>
    </row>
    <row r="248" spans="1:64" x14ac:dyDescent="0.2">
      <c r="A248" s="148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  <c r="BI248" s="148"/>
      <c r="BJ248" s="148"/>
      <c r="BK248" s="148"/>
      <c r="BL248" s="148"/>
    </row>
    <row r="249" spans="1:64" x14ac:dyDescent="0.2">
      <c r="A249" s="148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  <c r="BI249" s="148"/>
      <c r="BJ249" s="148"/>
      <c r="BK249" s="148"/>
      <c r="BL249" s="148"/>
    </row>
    <row r="250" spans="1:64" x14ac:dyDescent="0.2">
      <c r="A250" s="148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  <c r="BI250" s="148"/>
      <c r="BJ250" s="148"/>
      <c r="BK250" s="148"/>
      <c r="BL250" s="148"/>
    </row>
    <row r="251" spans="1:64" x14ac:dyDescent="0.2">
      <c r="A251" s="148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  <c r="BI251" s="148"/>
      <c r="BJ251" s="148"/>
      <c r="BK251" s="148"/>
      <c r="BL251" s="148"/>
    </row>
    <row r="252" spans="1:64" x14ac:dyDescent="0.2">
      <c r="A252" s="148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  <c r="BI252" s="148"/>
      <c r="BJ252" s="148"/>
      <c r="BK252" s="148"/>
      <c r="BL252" s="148"/>
    </row>
    <row r="253" spans="1:64" x14ac:dyDescent="0.2">
      <c r="A253" s="148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  <c r="BI253" s="148"/>
      <c r="BJ253" s="148"/>
      <c r="BK253" s="148"/>
      <c r="BL253" s="148"/>
    </row>
    <row r="254" spans="1:64" x14ac:dyDescent="0.2">
      <c r="A254" s="148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  <c r="BI254" s="148"/>
      <c r="BJ254" s="148"/>
      <c r="BK254" s="148"/>
      <c r="BL254" s="148"/>
    </row>
    <row r="255" spans="1:64" x14ac:dyDescent="0.2">
      <c r="A255" s="148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  <c r="BI255" s="148"/>
      <c r="BJ255" s="148"/>
      <c r="BK255" s="148"/>
      <c r="BL255" s="148"/>
    </row>
    <row r="256" spans="1:64" x14ac:dyDescent="0.2">
      <c r="A256" s="148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  <c r="BI256" s="148"/>
      <c r="BJ256" s="148"/>
      <c r="BK256" s="148"/>
      <c r="BL256" s="148"/>
    </row>
    <row r="257" spans="1:64" x14ac:dyDescent="0.2">
      <c r="A257" s="148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  <c r="BI257" s="148"/>
      <c r="BJ257" s="148"/>
      <c r="BK257" s="148"/>
      <c r="BL257" s="148"/>
    </row>
    <row r="258" spans="1:64" x14ac:dyDescent="0.2">
      <c r="A258" s="148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  <c r="BI258" s="148"/>
      <c r="BJ258" s="148"/>
      <c r="BK258" s="148"/>
      <c r="BL258" s="148"/>
    </row>
    <row r="259" spans="1:64" x14ac:dyDescent="0.2">
      <c r="A259" s="148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  <c r="BI259" s="148"/>
      <c r="BJ259" s="148"/>
      <c r="BK259" s="148"/>
      <c r="BL259" s="148"/>
    </row>
    <row r="260" spans="1:64" x14ac:dyDescent="0.2">
      <c r="A260" s="148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  <c r="BI260" s="148"/>
      <c r="BJ260" s="148"/>
      <c r="BK260" s="148"/>
      <c r="BL260" s="148"/>
    </row>
    <row r="261" spans="1:64" x14ac:dyDescent="0.2">
      <c r="A261" s="148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  <c r="BI261" s="148"/>
      <c r="BJ261" s="148"/>
      <c r="BK261" s="148"/>
      <c r="BL261" s="148"/>
    </row>
    <row r="262" spans="1:64" x14ac:dyDescent="0.2">
      <c r="A262" s="148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  <c r="BI262" s="148"/>
      <c r="BJ262" s="148"/>
      <c r="BK262" s="148"/>
      <c r="BL262" s="148"/>
    </row>
    <row r="263" spans="1:64" x14ac:dyDescent="0.2">
      <c r="A263" s="148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  <c r="BI263" s="148"/>
      <c r="BJ263" s="148"/>
      <c r="BK263" s="148"/>
      <c r="BL263" s="148"/>
    </row>
    <row r="264" spans="1:64" x14ac:dyDescent="0.2">
      <c r="A264" s="148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  <c r="BI264" s="148"/>
      <c r="BJ264" s="148"/>
      <c r="BK264" s="148"/>
      <c r="BL264" s="148"/>
    </row>
    <row r="265" spans="1:64" x14ac:dyDescent="0.2">
      <c r="A265" s="148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  <c r="BI265" s="148"/>
      <c r="BJ265" s="148"/>
      <c r="BK265" s="148"/>
      <c r="BL265" s="148"/>
    </row>
    <row r="266" spans="1:64" x14ac:dyDescent="0.2">
      <c r="A266" s="148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  <c r="BI266" s="148"/>
      <c r="BJ266" s="148"/>
      <c r="BK266" s="148"/>
      <c r="BL266" s="148"/>
    </row>
    <row r="267" spans="1:64" x14ac:dyDescent="0.2">
      <c r="A267" s="148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  <c r="BI267" s="148"/>
      <c r="BJ267" s="148"/>
      <c r="BK267" s="148"/>
      <c r="BL267" s="148"/>
    </row>
    <row r="268" spans="1:64" x14ac:dyDescent="0.2">
      <c r="A268" s="148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  <c r="BI268" s="148"/>
      <c r="BJ268" s="148"/>
      <c r="BK268" s="148"/>
      <c r="BL268" s="148"/>
    </row>
    <row r="269" spans="1:64" x14ac:dyDescent="0.2">
      <c r="A269" s="148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  <c r="BI269" s="148"/>
      <c r="BJ269" s="148"/>
      <c r="BK269" s="148"/>
      <c r="BL269" s="148"/>
    </row>
    <row r="270" spans="1:64" x14ac:dyDescent="0.2">
      <c r="A270" s="148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  <c r="BI270" s="148"/>
      <c r="BJ270" s="148"/>
      <c r="BK270" s="148"/>
      <c r="BL270" s="148"/>
    </row>
    <row r="271" spans="1:64" x14ac:dyDescent="0.2">
      <c r="A271" s="148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  <c r="BI271" s="148"/>
      <c r="BJ271" s="148"/>
      <c r="BK271" s="148"/>
      <c r="BL271" s="148"/>
    </row>
    <row r="272" spans="1:64" x14ac:dyDescent="0.2">
      <c r="A272" s="148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  <c r="BI272" s="148"/>
      <c r="BJ272" s="148"/>
      <c r="BK272" s="148"/>
      <c r="BL272" s="148"/>
    </row>
    <row r="273" spans="1:64" x14ac:dyDescent="0.2">
      <c r="A273" s="148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  <c r="BI273" s="148"/>
      <c r="BJ273" s="148"/>
      <c r="BK273" s="148"/>
      <c r="BL273" s="148"/>
    </row>
    <row r="274" spans="1:64" x14ac:dyDescent="0.2">
      <c r="A274" s="148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  <c r="BI274" s="148"/>
      <c r="BJ274" s="148"/>
      <c r="BK274" s="148"/>
      <c r="BL274" s="148"/>
    </row>
    <row r="275" spans="1:64" x14ac:dyDescent="0.2">
      <c r="A275" s="148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  <c r="BI275" s="148"/>
      <c r="BJ275" s="148"/>
      <c r="BK275" s="148"/>
      <c r="BL275" s="148"/>
    </row>
    <row r="276" spans="1:64" x14ac:dyDescent="0.2">
      <c r="A276" s="148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  <c r="BI276" s="148"/>
      <c r="BJ276" s="148"/>
      <c r="BK276" s="148"/>
      <c r="BL276" s="148"/>
    </row>
    <row r="277" spans="1:64" x14ac:dyDescent="0.2">
      <c r="A277" s="148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  <c r="BI277" s="148"/>
      <c r="BJ277" s="148"/>
      <c r="BK277" s="148"/>
      <c r="BL277" s="148"/>
    </row>
    <row r="278" spans="1:64" x14ac:dyDescent="0.2">
      <c r="A278" s="148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  <c r="BI278" s="148"/>
      <c r="BJ278" s="148"/>
      <c r="BK278" s="148"/>
      <c r="BL278" s="148"/>
    </row>
    <row r="279" spans="1:64" x14ac:dyDescent="0.2">
      <c r="A279" s="148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  <c r="BI279" s="148"/>
      <c r="BJ279" s="148"/>
      <c r="BK279" s="148"/>
      <c r="BL279" s="148"/>
    </row>
    <row r="280" spans="1:64" x14ac:dyDescent="0.2">
      <c r="A280" s="148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  <c r="BI280" s="148"/>
      <c r="BJ280" s="148"/>
      <c r="BK280" s="148"/>
      <c r="BL280" s="148"/>
    </row>
    <row r="281" spans="1:64" x14ac:dyDescent="0.2">
      <c r="A281" s="148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  <c r="BI281" s="148"/>
      <c r="BJ281" s="148"/>
      <c r="BK281" s="148"/>
      <c r="BL281" s="148"/>
    </row>
    <row r="282" spans="1:64" x14ac:dyDescent="0.2">
      <c r="A282" s="148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  <c r="BI282" s="148"/>
      <c r="BJ282" s="148"/>
      <c r="BK282" s="148"/>
      <c r="BL282" s="148"/>
    </row>
    <row r="283" spans="1:64" x14ac:dyDescent="0.2">
      <c r="A283" s="148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  <c r="BI283" s="148"/>
      <c r="BJ283" s="148"/>
      <c r="BK283" s="148"/>
      <c r="BL283" s="148"/>
    </row>
    <row r="284" spans="1:64" x14ac:dyDescent="0.2">
      <c r="A284" s="148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  <c r="BI284" s="148"/>
      <c r="BJ284" s="148"/>
      <c r="BK284" s="148"/>
      <c r="BL284" s="148"/>
    </row>
    <row r="285" spans="1:64" x14ac:dyDescent="0.2">
      <c r="A285" s="148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  <c r="BI285" s="148"/>
      <c r="BJ285" s="148"/>
      <c r="BK285" s="148"/>
      <c r="BL285" s="148"/>
    </row>
    <row r="286" spans="1:64" x14ac:dyDescent="0.2">
      <c r="A286" s="148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  <c r="BI286" s="148"/>
      <c r="BJ286" s="148"/>
      <c r="BK286" s="148"/>
      <c r="BL286" s="148"/>
    </row>
    <row r="287" spans="1:64" x14ac:dyDescent="0.2">
      <c r="A287" s="148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  <c r="BI287" s="148"/>
      <c r="BJ287" s="148"/>
      <c r="BK287" s="148"/>
      <c r="BL287" s="148"/>
    </row>
    <row r="288" spans="1:64" x14ac:dyDescent="0.2">
      <c r="A288" s="148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  <c r="BI288" s="148"/>
      <c r="BJ288" s="148"/>
      <c r="BK288" s="148"/>
      <c r="BL288" s="148"/>
    </row>
    <row r="289" spans="1:64" x14ac:dyDescent="0.2">
      <c r="A289" s="148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  <c r="BI289" s="148"/>
      <c r="BJ289" s="148"/>
      <c r="BK289" s="148"/>
      <c r="BL289" s="148"/>
    </row>
    <row r="290" spans="1:64" x14ac:dyDescent="0.2">
      <c r="A290" s="148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  <c r="BI290" s="148"/>
      <c r="BJ290" s="148"/>
      <c r="BK290" s="148"/>
      <c r="BL290" s="148"/>
    </row>
    <row r="291" spans="1:64" x14ac:dyDescent="0.2">
      <c r="A291" s="148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  <c r="BI291" s="148"/>
      <c r="BJ291" s="148"/>
      <c r="BK291" s="148"/>
      <c r="BL291" s="148"/>
    </row>
    <row r="292" spans="1:64" x14ac:dyDescent="0.2">
      <c r="A292" s="148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  <c r="BI292" s="148"/>
      <c r="BJ292" s="148"/>
      <c r="BK292" s="148"/>
      <c r="BL292" s="148"/>
    </row>
    <row r="293" spans="1:64" x14ac:dyDescent="0.2">
      <c r="A293" s="148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  <c r="BI293" s="148"/>
      <c r="BJ293" s="148"/>
      <c r="BK293" s="148"/>
      <c r="BL293" s="148"/>
    </row>
    <row r="294" spans="1:64" x14ac:dyDescent="0.2">
      <c r="A294" s="148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  <c r="BI294" s="148"/>
      <c r="BJ294" s="148"/>
      <c r="BK294" s="148"/>
      <c r="BL294" s="148"/>
    </row>
    <row r="295" spans="1:64" x14ac:dyDescent="0.2">
      <c r="A295" s="148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  <c r="BI295" s="148"/>
      <c r="BJ295" s="148"/>
      <c r="BK295" s="148"/>
      <c r="BL295" s="148"/>
    </row>
    <row r="296" spans="1:64" x14ac:dyDescent="0.2">
      <c r="A296" s="148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  <c r="BI296" s="148"/>
      <c r="BJ296" s="148"/>
      <c r="BK296" s="148"/>
      <c r="BL296" s="148"/>
    </row>
    <row r="297" spans="1:64" x14ac:dyDescent="0.2">
      <c r="A297" s="148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  <c r="BI297" s="148"/>
      <c r="BJ297" s="148"/>
      <c r="BK297" s="148"/>
      <c r="BL297" s="148"/>
    </row>
    <row r="298" spans="1:64" x14ac:dyDescent="0.2">
      <c r="A298" s="148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  <c r="BI298" s="148"/>
      <c r="BJ298" s="148"/>
      <c r="BK298" s="148"/>
      <c r="BL298" s="148"/>
    </row>
    <row r="299" spans="1:64" x14ac:dyDescent="0.2">
      <c r="A299" s="148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H299" s="148"/>
      <c r="BI299" s="148"/>
      <c r="BJ299" s="148"/>
      <c r="BK299" s="148"/>
      <c r="BL299" s="148"/>
    </row>
    <row r="300" spans="1:64" x14ac:dyDescent="0.2">
      <c r="A300" s="148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  <c r="BI300" s="148"/>
      <c r="BJ300" s="148"/>
      <c r="BK300" s="148"/>
      <c r="BL300" s="148"/>
    </row>
    <row r="301" spans="1:64" x14ac:dyDescent="0.2">
      <c r="A301" s="148"/>
      <c r="B301" s="148"/>
      <c r="C301" s="148"/>
      <c r="D301" s="148"/>
      <c r="E301" s="148"/>
      <c r="F301" s="148"/>
      <c r="G301" s="148"/>
      <c r="H301" s="148"/>
      <c r="I301" s="148"/>
      <c r="J301" s="148"/>
      <c r="K301" s="148"/>
      <c r="L301" s="148"/>
      <c r="M301" s="148"/>
      <c r="N301" s="148"/>
      <c r="O301" s="148"/>
      <c r="P301" s="148"/>
      <c r="Q301" s="148"/>
      <c r="R301" s="148"/>
      <c r="S301" s="148"/>
      <c r="T301" s="148"/>
      <c r="U301" s="148"/>
      <c r="V301" s="148"/>
      <c r="W301" s="14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/>
      <c r="AH301" s="148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  <c r="BI301" s="148"/>
      <c r="BJ301" s="148"/>
      <c r="BK301" s="148"/>
      <c r="BL301" s="148"/>
    </row>
    <row r="302" spans="1:64" x14ac:dyDescent="0.2">
      <c r="A302" s="148"/>
      <c r="B302" s="148"/>
      <c r="C302" s="148"/>
      <c r="D302" s="148"/>
      <c r="E302" s="148"/>
      <c r="F302" s="148"/>
      <c r="G302" s="148"/>
      <c r="H302" s="148"/>
      <c r="I302" s="148"/>
      <c r="J302" s="148"/>
      <c r="K302" s="148"/>
      <c r="L302" s="148"/>
      <c r="M302" s="148"/>
      <c r="N302" s="148"/>
      <c r="O302" s="148"/>
      <c r="P302" s="148"/>
      <c r="Q302" s="148"/>
      <c r="R302" s="148"/>
      <c r="S302" s="148"/>
      <c r="T302" s="148"/>
      <c r="U302" s="148"/>
      <c r="V302" s="148"/>
      <c r="W302" s="148"/>
      <c r="X302" s="148"/>
      <c r="Y302" s="148"/>
      <c r="Z302" s="148"/>
      <c r="AA302" s="148"/>
      <c r="AB302" s="148"/>
      <c r="AC302" s="148"/>
      <c r="AD302" s="148"/>
      <c r="AE302" s="148"/>
      <c r="AF302" s="148"/>
      <c r="AG302" s="148"/>
      <c r="AH302" s="148"/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  <c r="BI302" s="148"/>
      <c r="BJ302" s="148"/>
      <c r="BK302" s="148"/>
      <c r="BL302" s="148"/>
    </row>
    <row r="303" spans="1:64" x14ac:dyDescent="0.2">
      <c r="A303" s="148"/>
      <c r="B303" s="148"/>
      <c r="C303" s="148"/>
      <c r="D303" s="148"/>
      <c r="E303" s="148"/>
      <c r="F303" s="148"/>
      <c r="G303" s="148"/>
      <c r="H303" s="148"/>
      <c r="I303" s="148"/>
      <c r="J303" s="148"/>
      <c r="K303" s="148"/>
      <c r="L303" s="148"/>
      <c r="M303" s="148"/>
      <c r="N303" s="148"/>
      <c r="O303" s="148"/>
      <c r="P303" s="148"/>
      <c r="Q303" s="148"/>
      <c r="R303" s="148"/>
      <c r="S303" s="148"/>
      <c r="T303" s="148"/>
      <c r="U303" s="148"/>
      <c r="V303" s="148"/>
      <c r="W303" s="148"/>
      <c r="X303" s="148"/>
      <c r="Y303" s="148"/>
      <c r="Z303" s="148"/>
      <c r="AA303" s="148"/>
      <c r="AB303" s="148"/>
      <c r="AC303" s="148"/>
      <c r="AD303" s="148"/>
      <c r="AE303" s="148"/>
      <c r="AF303" s="148"/>
      <c r="AG303" s="148"/>
      <c r="AH303" s="148"/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  <c r="BI303" s="148"/>
      <c r="BJ303" s="148"/>
      <c r="BK303" s="148"/>
      <c r="BL303" s="148"/>
    </row>
    <row r="304" spans="1:64" x14ac:dyDescent="0.2">
      <c r="A304" s="148"/>
      <c r="B304" s="148"/>
      <c r="C304" s="148"/>
      <c r="D304" s="148"/>
      <c r="E304" s="148"/>
      <c r="F304" s="148"/>
      <c r="G304" s="148"/>
      <c r="H304" s="148"/>
      <c r="I304" s="148"/>
      <c r="J304" s="148"/>
      <c r="K304" s="148"/>
      <c r="L304" s="148"/>
      <c r="M304" s="148"/>
      <c r="N304" s="148"/>
      <c r="O304" s="148"/>
      <c r="P304" s="148"/>
      <c r="Q304" s="148"/>
      <c r="R304" s="148"/>
      <c r="S304" s="148"/>
      <c r="T304" s="148"/>
      <c r="U304" s="148"/>
      <c r="V304" s="148"/>
      <c r="W304" s="14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/>
      <c r="AH304" s="148"/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  <c r="BI304" s="148"/>
      <c r="BJ304" s="148"/>
      <c r="BK304" s="148"/>
      <c r="BL304" s="148"/>
    </row>
    <row r="305" spans="1:64" x14ac:dyDescent="0.2">
      <c r="A305" s="148"/>
      <c r="B305" s="148"/>
      <c r="C305" s="148"/>
      <c r="D305" s="148"/>
      <c r="E305" s="148"/>
      <c r="F305" s="148"/>
      <c r="G305" s="148"/>
      <c r="H305" s="148"/>
      <c r="I305" s="148"/>
      <c r="J305" s="148"/>
      <c r="K305" s="148"/>
      <c r="L305" s="148"/>
      <c r="M305" s="148"/>
      <c r="N305" s="148"/>
      <c r="O305" s="148"/>
      <c r="P305" s="148"/>
      <c r="Q305" s="148"/>
      <c r="R305" s="148"/>
      <c r="S305" s="148"/>
      <c r="T305" s="148"/>
      <c r="U305" s="148"/>
      <c r="V305" s="148"/>
      <c r="W305" s="148"/>
      <c r="X305" s="148"/>
      <c r="Y305" s="148"/>
      <c r="Z305" s="148"/>
      <c r="AA305" s="148"/>
      <c r="AB305" s="148"/>
      <c r="AC305" s="148"/>
      <c r="AD305" s="148"/>
      <c r="AE305" s="148"/>
      <c r="AF305" s="148"/>
      <c r="AG305" s="148"/>
      <c r="AH305" s="148"/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  <c r="BI305" s="148"/>
      <c r="BJ305" s="148"/>
      <c r="BK305" s="148"/>
      <c r="BL305" s="148"/>
    </row>
    <row r="306" spans="1:64" x14ac:dyDescent="0.2">
      <c r="A306" s="148"/>
      <c r="B306" s="148"/>
      <c r="C306" s="148"/>
      <c r="D306" s="148"/>
      <c r="E306" s="148"/>
      <c r="F306" s="148"/>
      <c r="G306" s="148"/>
      <c r="H306" s="148"/>
      <c r="I306" s="148"/>
      <c r="J306" s="148"/>
      <c r="K306" s="148"/>
      <c r="L306" s="148"/>
      <c r="M306" s="148"/>
      <c r="N306" s="148"/>
      <c r="O306" s="148"/>
      <c r="P306" s="148"/>
      <c r="Q306" s="148"/>
      <c r="R306" s="148"/>
      <c r="S306" s="148"/>
      <c r="T306" s="148"/>
      <c r="U306" s="148"/>
      <c r="V306" s="148"/>
      <c r="W306" s="14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/>
      <c r="AH306" s="148"/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  <c r="BI306" s="148"/>
      <c r="BJ306" s="148"/>
      <c r="BK306" s="148"/>
      <c r="BL306" s="148"/>
    </row>
    <row r="307" spans="1:64" x14ac:dyDescent="0.2">
      <c r="A307" s="148"/>
      <c r="B307" s="148"/>
      <c r="C307" s="148"/>
      <c r="D307" s="148"/>
      <c r="E307" s="148"/>
      <c r="F307" s="148"/>
      <c r="G307" s="148"/>
      <c r="H307" s="148"/>
      <c r="I307" s="148"/>
      <c r="J307" s="148"/>
      <c r="K307" s="148"/>
      <c r="L307" s="148"/>
      <c r="M307" s="148"/>
      <c r="N307" s="148"/>
      <c r="O307" s="148"/>
      <c r="P307" s="148"/>
      <c r="Q307" s="148"/>
      <c r="R307" s="148"/>
      <c r="S307" s="148"/>
      <c r="T307" s="148"/>
      <c r="U307" s="148"/>
      <c r="V307" s="148"/>
      <c r="W307" s="14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/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  <c r="BI307" s="148"/>
      <c r="BJ307" s="148"/>
      <c r="BK307" s="148"/>
      <c r="BL307" s="148"/>
    </row>
    <row r="308" spans="1:64" x14ac:dyDescent="0.2">
      <c r="A308" s="148"/>
      <c r="B308" s="148"/>
      <c r="C308" s="148"/>
      <c r="D308" s="148"/>
      <c r="E308" s="148"/>
      <c r="F308" s="148"/>
      <c r="G308" s="148"/>
      <c r="H308" s="148"/>
      <c r="I308" s="148"/>
      <c r="J308" s="148"/>
      <c r="K308" s="148"/>
      <c r="L308" s="148"/>
      <c r="M308" s="148"/>
      <c r="N308" s="148"/>
      <c r="O308" s="148"/>
      <c r="P308" s="148"/>
      <c r="Q308" s="148"/>
      <c r="R308" s="148"/>
      <c r="S308" s="148"/>
      <c r="T308" s="148"/>
      <c r="U308" s="148"/>
      <c r="V308" s="148"/>
      <c r="W308" s="148"/>
      <c r="X308" s="148"/>
      <c r="Y308" s="148"/>
      <c r="Z308" s="148"/>
      <c r="AA308" s="148"/>
      <c r="AB308" s="148"/>
      <c r="AC308" s="148"/>
      <c r="AD308" s="148"/>
      <c r="AE308" s="148"/>
      <c r="AF308" s="148"/>
      <c r="AG308" s="148"/>
      <c r="AH308" s="148"/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  <c r="BI308" s="148"/>
      <c r="BJ308" s="148"/>
      <c r="BK308" s="148"/>
      <c r="BL308" s="148"/>
    </row>
    <row r="309" spans="1:64" x14ac:dyDescent="0.2">
      <c r="A309" s="148"/>
      <c r="B309" s="148"/>
      <c r="C309" s="148"/>
      <c r="D309" s="148"/>
      <c r="E309" s="148"/>
      <c r="F309" s="148"/>
      <c r="G309" s="148"/>
      <c r="H309" s="148"/>
      <c r="I309" s="148"/>
      <c r="J309" s="148"/>
      <c r="K309" s="148"/>
      <c r="L309" s="148"/>
      <c r="M309" s="148"/>
      <c r="N309" s="148"/>
      <c r="O309" s="148"/>
      <c r="P309" s="148"/>
      <c r="Q309" s="148"/>
      <c r="R309" s="148"/>
      <c r="S309" s="148"/>
      <c r="T309" s="148"/>
      <c r="U309" s="148"/>
      <c r="V309" s="148"/>
      <c r="W309" s="148"/>
      <c r="X309" s="148"/>
      <c r="Y309" s="148"/>
      <c r="Z309" s="148"/>
      <c r="AA309" s="148"/>
      <c r="AB309" s="148"/>
      <c r="AC309" s="148"/>
      <c r="AD309" s="148"/>
      <c r="AE309" s="148"/>
      <c r="AF309" s="148"/>
      <c r="AG309" s="148"/>
      <c r="AH309" s="148"/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  <c r="BI309" s="148"/>
      <c r="BJ309" s="148"/>
      <c r="BK309" s="148"/>
      <c r="BL309" s="148"/>
    </row>
    <row r="310" spans="1:64" x14ac:dyDescent="0.2">
      <c r="A310" s="148"/>
      <c r="B310" s="148"/>
      <c r="C310" s="148"/>
      <c r="D310" s="148"/>
      <c r="E310" s="148"/>
      <c r="F310" s="148"/>
      <c r="G310" s="148"/>
      <c r="H310" s="148"/>
      <c r="I310" s="148"/>
      <c r="J310" s="148"/>
      <c r="K310" s="148"/>
      <c r="L310" s="148"/>
      <c r="M310" s="148"/>
      <c r="N310" s="148"/>
      <c r="O310" s="148"/>
      <c r="P310" s="148"/>
      <c r="Q310" s="148"/>
      <c r="R310" s="148"/>
      <c r="S310" s="148"/>
      <c r="T310" s="148"/>
      <c r="U310" s="148"/>
      <c r="V310" s="148"/>
      <c r="W310" s="148"/>
      <c r="X310" s="148"/>
      <c r="Y310" s="148"/>
      <c r="Z310" s="148"/>
      <c r="AA310" s="148"/>
      <c r="AB310" s="148"/>
      <c r="AC310" s="148"/>
      <c r="AD310" s="148"/>
      <c r="AE310" s="148"/>
      <c r="AF310" s="148"/>
      <c r="AG310" s="148"/>
      <c r="AH310" s="148"/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  <c r="BI310" s="148"/>
      <c r="BJ310" s="148"/>
      <c r="BK310" s="148"/>
      <c r="BL310" s="148"/>
    </row>
    <row r="311" spans="1:64" x14ac:dyDescent="0.2">
      <c r="A311" s="148"/>
      <c r="B311" s="148"/>
      <c r="C311" s="148"/>
      <c r="D311" s="148"/>
      <c r="E311" s="148"/>
      <c r="F311" s="148"/>
      <c r="G311" s="148"/>
      <c r="H311" s="148"/>
      <c r="I311" s="148"/>
      <c r="J311" s="148"/>
      <c r="K311" s="148"/>
      <c r="L311" s="148"/>
      <c r="M311" s="148"/>
      <c r="N311" s="148"/>
      <c r="O311" s="148"/>
      <c r="P311" s="148"/>
      <c r="Q311" s="148"/>
      <c r="R311" s="148"/>
      <c r="S311" s="148"/>
      <c r="T311" s="148"/>
      <c r="U311" s="148"/>
      <c r="V311" s="148"/>
      <c r="W311" s="148"/>
      <c r="X311" s="148"/>
      <c r="Y311" s="148"/>
      <c r="Z311" s="148"/>
      <c r="AA311" s="148"/>
      <c r="AB311" s="148"/>
      <c r="AC311" s="148"/>
      <c r="AD311" s="148"/>
      <c r="AE311" s="148"/>
      <c r="AF311" s="148"/>
      <c r="AG311" s="148"/>
      <c r="AH311" s="148"/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  <c r="BI311" s="148"/>
      <c r="BJ311" s="148"/>
      <c r="BK311" s="148"/>
      <c r="BL311" s="148"/>
    </row>
    <row r="312" spans="1:64" x14ac:dyDescent="0.2">
      <c r="A312" s="148"/>
      <c r="B312" s="148"/>
      <c r="C312" s="148"/>
      <c r="D312" s="148"/>
      <c r="E312" s="148"/>
      <c r="F312" s="148"/>
      <c r="G312" s="148"/>
      <c r="H312" s="148"/>
      <c r="I312" s="148"/>
      <c r="J312" s="148"/>
      <c r="K312" s="148"/>
      <c r="L312" s="148"/>
      <c r="M312" s="148"/>
      <c r="N312" s="148"/>
      <c r="O312" s="148"/>
      <c r="P312" s="148"/>
      <c r="Q312" s="148"/>
      <c r="R312" s="148"/>
      <c r="S312" s="148"/>
      <c r="T312" s="148"/>
      <c r="U312" s="148"/>
      <c r="V312" s="148"/>
      <c r="W312" s="14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/>
      <c r="AH312" s="148"/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  <c r="BI312" s="148"/>
      <c r="BJ312" s="148"/>
      <c r="BK312" s="148"/>
      <c r="BL312" s="148"/>
    </row>
    <row r="313" spans="1:64" x14ac:dyDescent="0.2">
      <c r="A313" s="148"/>
      <c r="B313" s="148"/>
      <c r="C313" s="148"/>
      <c r="D313" s="148"/>
      <c r="E313" s="148"/>
      <c r="F313" s="148"/>
      <c r="G313" s="148"/>
      <c r="H313" s="148"/>
      <c r="I313" s="148"/>
      <c r="J313" s="148"/>
      <c r="K313" s="148"/>
      <c r="L313" s="148"/>
      <c r="M313" s="148"/>
      <c r="N313" s="148"/>
      <c r="O313" s="148"/>
      <c r="P313" s="148"/>
      <c r="Q313" s="148"/>
      <c r="R313" s="148"/>
      <c r="S313" s="148"/>
      <c r="T313" s="148"/>
      <c r="U313" s="148"/>
      <c r="V313" s="148"/>
      <c r="W313" s="148"/>
      <c r="X313" s="148"/>
      <c r="Y313" s="148"/>
      <c r="Z313" s="148"/>
      <c r="AA313" s="148"/>
      <c r="AB313" s="148"/>
      <c r="AC313" s="148"/>
      <c r="AD313" s="148"/>
      <c r="AE313" s="148"/>
      <c r="AF313" s="148"/>
      <c r="AG313" s="148"/>
      <c r="AH313" s="148"/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  <c r="BI313" s="148"/>
      <c r="BJ313" s="148"/>
      <c r="BK313" s="148"/>
      <c r="BL313" s="148"/>
    </row>
    <row r="314" spans="1:64" x14ac:dyDescent="0.2">
      <c r="A314" s="148"/>
      <c r="B314" s="148"/>
      <c r="C314" s="148"/>
      <c r="D314" s="148"/>
      <c r="E314" s="148"/>
      <c r="F314" s="148"/>
      <c r="G314" s="148"/>
      <c r="H314" s="148"/>
      <c r="I314" s="148"/>
      <c r="J314" s="148"/>
      <c r="K314" s="148"/>
      <c r="L314" s="148"/>
      <c r="M314" s="148"/>
      <c r="N314" s="148"/>
      <c r="O314" s="148"/>
      <c r="P314" s="148"/>
      <c r="Q314" s="148"/>
      <c r="R314" s="148"/>
      <c r="S314" s="148"/>
      <c r="T314" s="148"/>
      <c r="U314" s="148"/>
      <c r="V314" s="148"/>
      <c r="W314" s="14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/>
      <c r="AH314" s="148"/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  <c r="BI314" s="148"/>
      <c r="BJ314" s="148"/>
      <c r="BK314" s="148"/>
      <c r="BL314" s="148"/>
    </row>
    <row r="315" spans="1:64" x14ac:dyDescent="0.2">
      <c r="A315" s="148"/>
      <c r="B315" s="148"/>
      <c r="C315" s="148"/>
      <c r="D315" s="148"/>
      <c r="E315" s="148"/>
      <c r="F315" s="148"/>
      <c r="G315" s="148"/>
      <c r="H315" s="148"/>
      <c r="I315" s="148"/>
      <c r="J315" s="148"/>
      <c r="K315" s="148"/>
      <c r="L315" s="148"/>
      <c r="M315" s="148"/>
      <c r="N315" s="148"/>
      <c r="O315" s="148"/>
      <c r="P315" s="148"/>
      <c r="Q315" s="148"/>
      <c r="R315" s="148"/>
      <c r="S315" s="148"/>
      <c r="T315" s="148"/>
      <c r="U315" s="148"/>
      <c r="V315" s="148"/>
      <c r="W315" s="14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/>
      <c r="AH315" s="148"/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  <c r="BI315" s="148"/>
      <c r="BJ315" s="148"/>
      <c r="BK315" s="148"/>
      <c r="BL315" s="148"/>
    </row>
    <row r="316" spans="1:64" x14ac:dyDescent="0.2">
      <c r="A316" s="148"/>
      <c r="B316" s="148"/>
      <c r="C316" s="148"/>
      <c r="D316" s="148"/>
      <c r="E316" s="148"/>
      <c r="F316" s="148"/>
      <c r="G316" s="148"/>
      <c r="H316" s="148"/>
      <c r="I316" s="148"/>
      <c r="J316" s="148"/>
      <c r="K316" s="148"/>
      <c r="L316" s="148"/>
      <c r="M316" s="148"/>
      <c r="N316" s="148"/>
      <c r="O316" s="148"/>
      <c r="P316" s="148"/>
      <c r="Q316" s="148"/>
      <c r="R316" s="148"/>
      <c r="S316" s="148"/>
      <c r="T316" s="148"/>
      <c r="U316" s="148"/>
      <c r="V316" s="148"/>
      <c r="W316" s="14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/>
      <c r="AH316" s="148"/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  <c r="BI316" s="148"/>
      <c r="BJ316" s="148"/>
      <c r="BK316" s="148"/>
      <c r="BL316" s="148"/>
    </row>
    <row r="317" spans="1:64" x14ac:dyDescent="0.2">
      <c r="A317" s="148"/>
      <c r="B317" s="148"/>
      <c r="C317" s="148"/>
      <c r="D317" s="148"/>
      <c r="E317" s="148"/>
      <c r="F317" s="148"/>
      <c r="G317" s="148"/>
      <c r="H317" s="148"/>
      <c r="I317" s="148"/>
      <c r="J317" s="148"/>
      <c r="K317" s="148"/>
      <c r="L317" s="148"/>
      <c r="M317" s="148"/>
      <c r="N317" s="148"/>
      <c r="O317" s="148"/>
      <c r="P317" s="148"/>
      <c r="Q317" s="148"/>
      <c r="R317" s="148"/>
      <c r="S317" s="148"/>
      <c r="T317" s="148"/>
      <c r="U317" s="148"/>
      <c r="V317" s="148"/>
      <c r="W317" s="14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/>
      <c r="AH317" s="148"/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  <c r="BI317" s="148"/>
      <c r="BJ317" s="148"/>
      <c r="BK317" s="148"/>
      <c r="BL317" s="148"/>
    </row>
    <row r="318" spans="1:64" x14ac:dyDescent="0.2">
      <c r="A318" s="148"/>
      <c r="B318" s="148"/>
      <c r="C318" s="148"/>
      <c r="D318" s="148"/>
      <c r="E318" s="148"/>
      <c r="F318" s="148"/>
      <c r="G318" s="148"/>
      <c r="H318" s="148"/>
      <c r="I318" s="148"/>
      <c r="J318" s="148"/>
      <c r="K318" s="148"/>
      <c r="L318" s="148"/>
      <c r="M318" s="148"/>
      <c r="N318" s="148"/>
      <c r="O318" s="148"/>
      <c r="P318" s="148"/>
      <c r="Q318" s="148"/>
      <c r="R318" s="148"/>
      <c r="S318" s="148"/>
      <c r="T318" s="148"/>
      <c r="U318" s="148"/>
      <c r="V318" s="148"/>
      <c r="W318" s="14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/>
      <c r="AH318" s="148"/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  <c r="BI318" s="148"/>
      <c r="BJ318" s="148"/>
      <c r="BK318" s="148"/>
      <c r="BL318" s="148"/>
    </row>
    <row r="319" spans="1:64" x14ac:dyDescent="0.2">
      <c r="A319" s="148"/>
      <c r="B319" s="148"/>
      <c r="C319" s="148"/>
      <c r="D319" s="148"/>
      <c r="E319" s="148"/>
      <c r="F319" s="148"/>
      <c r="G319" s="148"/>
      <c r="H319" s="148"/>
      <c r="I319" s="148"/>
      <c r="J319" s="148"/>
      <c r="K319" s="148"/>
      <c r="L319" s="148"/>
      <c r="M319" s="148"/>
      <c r="N319" s="148"/>
      <c r="O319" s="148"/>
      <c r="P319" s="148"/>
      <c r="Q319" s="148"/>
      <c r="R319" s="148"/>
      <c r="S319" s="148"/>
      <c r="T319" s="148"/>
      <c r="U319" s="148"/>
      <c r="V319" s="148"/>
      <c r="W319" s="148"/>
      <c r="X319" s="148"/>
      <c r="Y319" s="148"/>
      <c r="Z319" s="148"/>
      <c r="AA319" s="148"/>
      <c r="AB319" s="148"/>
      <c r="AC319" s="148"/>
      <c r="AD319" s="148"/>
      <c r="AE319" s="148"/>
      <c r="AF319" s="148"/>
      <c r="AG319" s="148"/>
      <c r="AH319" s="148"/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  <c r="BI319" s="148"/>
      <c r="BJ319" s="148"/>
      <c r="BK319" s="148"/>
      <c r="BL319" s="148"/>
    </row>
    <row r="320" spans="1:64" x14ac:dyDescent="0.2">
      <c r="A320" s="148"/>
      <c r="B320" s="148"/>
      <c r="C320" s="148"/>
      <c r="D320" s="148"/>
      <c r="E320" s="148"/>
      <c r="F320" s="148"/>
      <c r="G320" s="148"/>
      <c r="H320" s="148"/>
      <c r="I320" s="148"/>
      <c r="J320" s="148"/>
      <c r="K320" s="148"/>
      <c r="L320" s="148"/>
      <c r="M320" s="148"/>
      <c r="N320" s="148"/>
      <c r="O320" s="148"/>
      <c r="P320" s="148"/>
      <c r="Q320" s="148"/>
      <c r="R320" s="148"/>
      <c r="S320" s="148"/>
      <c r="T320" s="148"/>
      <c r="U320" s="148"/>
      <c r="V320" s="148"/>
      <c r="W320" s="14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/>
      <c r="AH320" s="148"/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  <c r="BI320" s="148"/>
      <c r="BJ320" s="148"/>
      <c r="BK320" s="148"/>
      <c r="BL320" s="148"/>
    </row>
    <row r="321" spans="1:64" x14ac:dyDescent="0.2">
      <c r="A321" s="148"/>
      <c r="B321" s="148"/>
      <c r="C321" s="148"/>
      <c r="D321" s="148"/>
      <c r="E321" s="148"/>
      <c r="F321" s="148"/>
      <c r="G321" s="148"/>
      <c r="H321" s="148"/>
      <c r="I321" s="148"/>
      <c r="J321" s="148"/>
      <c r="K321" s="148"/>
      <c r="L321" s="148"/>
      <c r="M321" s="148"/>
      <c r="N321" s="148"/>
      <c r="O321" s="148"/>
      <c r="P321" s="148"/>
      <c r="Q321" s="148"/>
      <c r="R321" s="148"/>
      <c r="S321" s="148"/>
      <c r="T321" s="148"/>
      <c r="U321" s="148"/>
      <c r="V321" s="148"/>
      <c r="W321" s="148"/>
      <c r="X321" s="148"/>
      <c r="Y321" s="148"/>
      <c r="Z321" s="148"/>
      <c r="AA321" s="148"/>
      <c r="AB321" s="148"/>
      <c r="AC321" s="148"/>
      <c r="AD321" s="148"/>
      <c r="AE321" s="148"/>
      <c r="AF321" s="148"/>
      <c r="AG321" s="148"/>
      <c r="AH321" s="148"/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  <c r="BI321" s="148"/>
      <c r="BJ321" s="148"/>
      <c r="BK321" s="148"/>
      <c r="BL321" s="148"/>
    </row>
    <row r="322" spans="1:64" x14ac:dyDescent="0.2">
      <c r="A322" s="148"/>
      <c r="B322" s="148"/>
      <c r="C322" s="148"/>
      <c r="D322" s="148"/>
      <c r="E322" s="148"/>
      <c r="F322" s="148"/>
      <c r="G322" s="148"/>
      <c r="H322" s="148"/>
      <c r="I322" s="148"/>
      <c r="J322" s="148"/>
      <c r="K322" s="148"/>
      <c r="L322" s="148"/>
      <c r="M322" s="148"/>
      <c r="N322" s="148"/>
      <c r="O322" s="148"/>
      <c r="P322" s="148"/>
      <c r="Q322" s="148"/>
      <c r="R322" s="148"/>
      <c r="S322" s="148"/>
      <c r="T322" s="148"/>
      <c r="U322" s="148"/>
      <c r="V322" s="148"/>
      <c r="W322" s="148"/>
      <c r="X322" s="148"/>
      <c r="Y322" s="148"/>
      <c r="Z322" s="148"/>
      <c r="AA322" s="148"/>
      <c r="AB322" s="148"/>
      <c r="AC322" s="148"/>
      <c r="AD322" s="148"/>
      <c r="AE322" s="148"/>
      <c r="AF322" s="148"/>
      <c r="AG322" s="148"/>
      <c r="AH322" s="148"/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  <c r="BI322" s="148"/>
      <c r="BJ322" s="148"/>
      <c r="BK322" s="148"/>
      <c r="BL322" s="148"/>
    </row>
    <row r="323" spans="1:64" x14ac:dyDescent="0.2">
      <c r="A323" s="148"/>
      <c r="B323" s="148"/>
      <c r="C323" s="148"/>
      <c r="D323" s="148"/>
      <c r="E323" s="148"/>
      <c r="F323" s="148"/>
      <c r="G323" s="148"/>
      <c r="H323" s="148"/>
      <c r="I323" s="148"/>
      <c r="J323" s="148"/>
      <c r="K323" s="148"/>
      <c r="L323" s="148"/>
      <c r="M323" s="148"/>
      <c r="N323" s="148"/>
      <c r="O323" s="148"/>
      <c r="P323" s="148"/>
      <c r="Q323" s="148"/>
      <c r="R323" s="148"/>
      <c r="S323" s="148"/>
      <c r="T323" s="148"/>
      <c r="U323" s="148"/>
      <c r="V323" s="148"/>
      <c r="W323" s="14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/>
      <c r="AH323" s="148"/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  <c r="BI323" s="148"/>
      <c r="BJ323" s="148"/>
      <c r="BK323" s="148"/>
      <c r="BL323" s="148"/>
    </row>
    <row r="324" spans="1:64" x14ac:dyDescent="0.2">
      <c r="A324" s="148"/>
      <c r="B324" s="148"/>
      <c r="C324" s="148"/>
      <c r="D324" s="148"/>
      <c r="E324" s="148"/>
      <c r="F324" s="148"/>
      <c r="G324" s="148"/>
      <c r="H324" s="148"/>
      <c r="I324" s="148"/>
      <c r="J324" s="148"/>
      <c r="K324" s="148"/>
      <c r="L324" s="148"/>
      <c r="M324" s="148"/>
      <c r="N324" s="148"/>
      <c r="O324" s="148"/>
      <c r="P324" s="148"/>
      <c r="Q324" s="148"/>
      <c r="R324" s="148"/>
      <c r="S324" s="148"/>
      <c r="T324" s="148"/>
      <c r="U324" s="148"/>
      <c r="V324" s="148"/>
      <c r="W324" s="148"/>
      <c r="X324" s="148"/>
      <c r="Y324" s="148"/>
      <c r="Z324" s="148"/>
      <c r="AA324" s="148"/>
      <c r="AB324" s="148"/>
      <c r="AC324" s="148"/>
      <c r="AD324" s="148"/>
      <c r="AE324" s="148"/>
      <c r="AF324" s="148"/>
      <c r="AG324" s="148"/>
      <c r="AH324" s="148"/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  <c r="BI324" s="148"/>
      <c r="BJ324" s="148"/>
      <c r="BK324" s="148"/>
      <c r="BL324" s="148"/>
    </row>
    <row r="325" spans="1:64" x14ac:dyDescent="0.2">
      <c r="A325" s="148"/>
      <c r="B325" s="148"/>
      <c r="C325" s="148"/>
      <c r="D325" s="148"/>
      <c r="E325" s="148"/>
      <c r="F325" s="148"/>
      <c r="G325" s="148"/>
      <c r="H325" s="148"/>
      <c r="I325" s="148"/>
      <c r="J325" s="148"/>
      <c r="K325" s="148"/>
      <c r="L325" s="148"/>
      <c r="M325" s="148"/>
      <c r="N325" s="148"/>
      <c r="O325" s="148"/>
      <c r="P325" s="148"/>
      <c r="Q325" s="148"/>
      <c r="R325" s="148"/>
      <c r="S325" s="148"/>
      <c r="T325" s="148"/>
      <c r="U325" s="148"/>
      <c r="V325" s="148"/>
      <c r="W325" s="148"/>
      <c r="X325" s="148"/>
      <c r="Y325" s="148"/>
      <c r="Z325" s="148"/>
      <c r="AA325" s="148"/>
      <c r="AB325" s="148"/>
      <c r="AC325" s="148"/>
      <c r="AD325" s="148"/>
      <c r="AE325" s="148"/>
      <c r="AF325" s="148"/>
      <c r="AG325" s="148"/>
      <c r="AH325" s="148"/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  <c r="BI325" s="148"/>
      <c r="BJ325" s="148"/>
      <c r="BK325" s="148"/>
      <c r="BL325" s="148"/>
    </row>
    <row r="326" spans="1:64" x14ac:dyDescent="0.2">
      <c r="A326" s="148"/>
      <c r="B326" s="148"/>
      <c r="C326" s="148"/>
      <c r="D326" s="148"/>
      <c r="E326" s="148"/>
      <c r="F326" s="148"/>
      <c r="G326" s="148"/>
      <c r="H326" s="148"/>
      <c r="I326" s="148"/>
      <c r="J326" s="148"/>
      <c r="K326" s="148"/>
      <c r="L326" s="148"/>
      <c r="M326" s="148"/>
      <c r="N326" s="148"/>
      <c r="O326" s="148"/>
      <c r="P326" s="148"/>
      <c r="Q326" s="148"/>
      <c r="R326" s="148"/>
      <c r="S326" s="148"/>
      <c r="T326" s="148"/>
      <c r="U326" s="148"/>
      <c r="V326" s="148"/>
      <c r="W326" s="148"/>
      <c r="X326" s="148"/>
      <c r="Y326" s="148"/>
      <c r="Z326" s="148"/>
      <c r="AA326" s="148"/>
      <c r="AB326" s="148"/>
      <c r="AC326" s="148"/>
      <c r="AD326" s="148"/>
      <c r="AE326" s="148"/>
      <c r="AF326" s="148"/>
      <c r="AG326" s="148"/>
      <c r="AH326" s="148"/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  <c r="BI326" s="148"/>
      <c r="BJ326" s="148"/>
      <c r="BK326" s="148"/>
      <c r="BL326" s="148"/>
    </row>
    <row r="327" spans="1:64" x14ac:dyDescent="0.2">
      <c r="A327" s="148"/>
      <c r="B327" s="148"/>
      <c r="C327" s="148"/>
      <c r="D327" s="148"/>
      <c r="E327" s="148"/>
      <c r="F327" s="148"/>
      <c r="G327" s="148"/>
      <c r="H327" s="148"/>
      <c r="I327" s="148"/>
      <c r="J327" s="148"/>
      <c r="K327" s="148"/>
      <c r="L327" s="148"/>
      <c r="M327" s="148"/>
      <c r="N327" s="148"/>
      <c r="O327" s="148"/>
      <c r="P327" s="148"/>
      <c r="Q327" s="148"/>
      <c r="R327" s="148"/>
      <c r="S327" s="148"/>
      <c r="T327" s="148"/>
      <c r="U327" s="148"/>
      <c r="V327" s="148"/>
      <c r="W327" s="148"/>
      <c r="X327" s="148"/>
      <c r="Y327" s="148"/>
      <c r="Z327" s="148"/>
      <c r="AA327" s="148"/>
      <c r="AB327" s="148"/>
      <c r="AC327" s="148"/>
      <c r="AD327" s="148"/>
      <c r="AE327" s="148"/>
      <c r="AF327" s="148"/>
      <c r="AG327" s="148"/>
      <c r="AH327" s="148"/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  <c r="BI327" s="148"/>
      <c r="BJ327" s="148"/>
      <c r="BK327" s="148"/>
      <c r="BL327" s="148"/>
    </row>
    <row r="328" spans="1:64" x14ac:dyDescent="0.2">
      <c r="A328" s="148"/>
      <c r="B328" s="148"/>
      <c r="C328" s="148"/>
      <c r="D328" s="148"/>
      <c r="E328" s="148"/>
      <c r="F328" s="148"/>
      <c r="G328" s="148"/>
      <c r="H328" s="148"/>
      <c r="I328" s="148"/>
      <c r="J328" s="148"/>
      <c r="K328" s="148"/>
      <c r="L328" s="148"/>
      <c r="M328" s="148"/>
      <c r="N328" s="148"/>
      <c r="O328" s="148"/>
      <c r="P328" s="148"/>
      <c r="Q328" s="148"/>
      <c r="R328" s="148"/>
      <c r="S328" s="148"/>
      <c r="T328" s="148"/>
      <c r="U328" s="148"/>
      <c r="V328" s="148"/>
      <c r="W328" s="148"/>
      <c r="X328" s="148"/>
      <c r="Y328" s="148"/>
      <c r="Z328" s="148"/>
      <c r="AA328" s="148"/>
      <c r="AB328" s="148"/>
      <c r="AC328" s="148"/>
      <c r="AD328" s="148"/>
      <c r="AE328" s="148"/>
      <c r="AF328" s="148"/>
      <c r="AG328" s="148"/>
      <c r="AH328" s="148"/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  <c r="BI328" s="148"/>
      <c r="BJ328" s="148"/>
      <c r="BK328" s="148"/>
      <c r="BL328" s="148"/>
    </row>
    <row r="329" spans="1:64" x14ac:dyDescent="0.2">
      <c r="A329" s="148"/>
      <c r="B329" s="148"/>
      <c r="C329" s="148"/>
      <c r="D329" s="148"/>
      <c r="E329" s="148"/>
      <c r="F329" s="148"/>
      <c r="G329" s="148"/>
      <c r="H329" s="148"/>
      <c r="I329" s="148"/>
      <c r="J329" s="148"/>
      <c r="K329" s="148"/>
      <c r="L329" s="148"/>
      <c r="M329" s="148"/>
      <c r="N329" s="148"/>
      <c r="O329" s="148"/>
      <c r="P329" s="148"/>
      <c r="Q329" s="148"/>
      <c r="R329" s="148"/>
      <c r="S329" s="148"/>
      <c r="T329" s="148"/>
      <c r="U329" s="148"/>
      <c r="V329" s="148"/>
      <c r="W329" s="148"/>
      <c r="X329" s="148"/>
      <c r="Y329" s="148"/>
      <c r="Z329" s="148"/>
      <c r="AA329" s="148"/>
      <c r="AB329" s="148"/>
      <c r="AC329" s="148"/>
      <c r="AD329" s="148"/>
      <c r="AE329" s="148"/>
      <c r="AF329" s="148"/>
      <c r="AG329" s="148"/>
      <c r="AH329" s="148"/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  <c r="BI329" s="148"/>
      <c r="BJ329" s="148"/>
      <c r="BK329" s="148"/>
      <c r="BL329" s="148"/>
    </row>
    <row r="330" spans="1:64" x14ac:dyDescent="0.2">
      <c r="A330" s="148"/>
      <c r="B330" s="148"/>
      <c r="C330" s="148"/>
      <c r="D330" s="148"/>
      <c r="E330" s="148"/>
      <c r="F330" s="148"/>
      <c r="G330" s="148"/>
      <c r="H330" s="148"/>
      <c r="I330" s="148"/>
      <c r="J330" s="148"/>
      <c r="K330" s="148"/>
      <c r="L330" s="148"/>
      <c r="M330" s="148"/>
      <c r="N330" s="148"/>
      <c r="O330" s="148"/>
      <c r="P330" s="148"/>
      <c r="Q330" s="148"/>
      <c r="R330" s="148"/>
      <c r="S330" s="148"/>
      <c r="T330" s="148"/>
      <c r="U330" s="148"/>
      <c r="V330" s="148"/>
      <c r="W330" s="148"/>
      <c r="X330" s="148"/>
      <c r="Y330" s="148"/>
      <c r="Z330" s="148"/>
      <c r="AA330" s="148"/>
      <c r="AB330" s="148"/>
      <c r="AC330" s="148"/>
      <c r="AD330" s="148"/>
      <c r="AE330" s="148"/>
      <c r="AF330" s="148"/>
      <c r="AG330" s="148"/>
      <c r="AH330" s="148"/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  <c r="BI330" s="148"/>
      <c r="BJ330" s="148"/>
      <c r="BK330" s="148"/>
      <c r="BL330" s="148"/>
    </row>
    <row r="331" spans="1:64" x14ac:dyDescent="0.2">
      <c r="A331" s="148"/>
      <c r="B331" s="148"/>
      <c r="C331" s="148"/>
      <c r="D331" s="148"/>
      <c r="E331" s="148"/>
      <c r="F331" s="148"/>
      <c r="G331" s="148"/>
      <c r="H331" s="148"/>
      <c r="I331" s="148"/>
      <c r="J331" s="148"/>
      <c r="K331" s="148"/>
      <c r="L331" s="148"/>
      <c r="M331" s="148"/>
      <c r="N331" s="148"/>
      <c r="O331" s="148"/>
      <c r="P331" s="148"/>
      <c r="Q331" s="148"/>
      <c r="R331" s="148"/>
      <c r="S331" s="148"/>
      <c r="T331" s="148"/>
      <c r="U331" s="148"/>
      <c r="V331" s="148"/>
      <c r="W331" s="148"/>
      <c r="X331" s="148"/>
      <c r="Y331" s="148"/>
      <c r="Z331" s="148"/>
      <c r="AA331" s="148"/>
      <c r="AB331" s="148"/>
      <c r="AC331" s="148"/>
      <c r="AD331" s="148"/>
      <c r="AE331" s="148"/>
      <c r="AF331" s="148"/>
      <c r="AG331" s="148"/>
      <c r="AH331" s="148"/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  <c r="BI331" s="148"/>
      <c r="BJ331" s="148"/>
      <c r="BK331" s="148"/>
      <c r="BL331" s="148"/>
    </row>
    <row r="332" spans="1:64" x14ac:dyDescent="0.2">
      <c r="A332" s="148"/>
      <c r="B332" s="148"/>
      <c r="C332" s="148"/>
      <c r="D332" s="148"/>
      <c r="E332" s="148"/>
      <c r="F332" s="148"/>
      <c r="G332" s="148"/>
      <c r="H332" s="148"/>
      <c r="I332" s="148"/>
      <c r="J332" s="148"/>
      <c r="K332" s="148"/>
      <c r="L332" s="148"/>
      <c r="M332" s="148"/>
      <c r="N332" s="148"/>
      <c r="O332" s="148"/>
      <c r="P332" s="148"/>
      <c r="Q332" s="148"/>
      <c r="R332" s="148"/>
      <c r="S332" s="148"/>
      <c r="T332" s="148"/>
      <c r="U332" s="148"/>
      <c r="V332" s="148"/>
      <c r="W332" s="148"/>
      <c r="X332" s="148"/>
      <c r="Y332" s="148"/>
      <c r="Z332" s="148"/>
      <c r="AA332" s="148"/>
      <c r="AB332" s="148"/>
      <c r="AC332" s="148"/>
      <c r="AD332" s="148"/>
      <c r="AE332" s="148"/>
      <c r="AF332" s="148"/>
      <c r="AG332" s="148"/>
      <c r="AH332" s="148"/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  <c r="BI332" s="148"/>
      <c r="BJ332" s="148"/>
      <c r="BK332" s="148"/>
      <c r="BL332" s="148"/>
    </row>
    <row r="333" spans="1:64" x14ac:dyDescent="0.2">
      <c r="A333" s="148"/>
      <c r="B333" s="148"/>
      <c r="C333" s="148"/>
      <c r="D333" s="148"/>
      <c r="E333" s="148"/>
      <c r="F333" s="148"/>
      <c r="G333" s="148"/>
      <c r="H333" s="148"/>
      <c r="I333" s="148"/>
      <c r="J333" s="148"/>
      <c r="K333" s="148"/>
      <c r="L333" s="148"/>
      <c r="M333" s="148"/>
      <c r="N333" s="148"/>
      <c r="O333" s="148"/>
      <c r="P333" s="148"/>
      <c r="Q333" s="148"/>
      <c r="R333" s="148"/>
      <c r="S333" s="148"/>
      <c r="T333" s="148"/>
      <c r="U333" s="148"/>
      <c r="V333" s="148"/>
      <c r="W333" s="148"/>
      <c r="X333" s="148"/>
      <c r="Y333" s="148"/>
      <c r="Z333" s="148"/>
      <c r="AA333" s="148"/>
      <c r="AB333" s="148"/>
      <c r="AC333" s="148"/>
      <c r="AD333" s="148"/>
      <c r="AE333" s="148"/>
      <c r="AF333" s="148"/>
      <c r="AG333" s="148"/>
      <c r="AH333" s="148"/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  <c r="BI333" s="148"/>
      <c r="BJ333" s="148"/>
      <c r="BK333" s="148"/>
      <c r="BL333" s="148"/>
    </row>
    <row r="334" spans="1:64" x14ac:dyDescent="0.2">
      <c r="A334" s="148"/>
      <c r="B334" s="148"/>
      <c r="C334" s="148"/>
      <c r="D334" s="148"/>
      <c r="E334" s="148"/>
      <c r="F334" s="148"/>
      <c r="G334" s="148"/>
      <c r="H334" s="148"/>
      <c r="I334" s="148"/>
      <c r="J334" s="148"/>
      <c r="K334" s="148"/>
      <c r="L334" s="148"/>
      <c r="M334" s="148"/>
      <c r="N334" s="148"/>
      <c r="O334" s="148"/>
      <c r="P334" s="148"/>
      <c r="Q334" s="148"/>
      <c r="R334" s="148"/>
      <c r="S334" s="148"/>
      <c r="T334" s="148"/>
      <c r="U334" s="148"/>
      <c r="V334" s="148"/>
      <c r="W334" s="14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/>
      <c r="AH334" s="148"/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  <c r="BI334" s="148"/>
      <c r="BJ334" s="148"/>
      <c r="BK334" s="148"/>
      <c r="BL334" s="148"/>
    </row>
    <row r="335" spans="1:64" x14ac:dyDescent="0.2">
      <c r="A335" s="148"/>
      <c r="B335" s="148"/>
      <c r="C335" s="148"/>
      <c r="D335" s="148"/>
      <c r="E335" s="148"/>
      <c r="F335" s="148"/>
      <c r="G335" s="148"/>
      <c r="H335" s="148"/>
      <c r="I335" s="148"/>
      <c r="J335" s="148"/>
      <c r="K335" s="148"/>
      <c r="L335" s="148"/>
      <c r="M335" s="148"/>
      <c r="N335" s="148"/>
      <c r="O335" s="148"/>
      <c r="P335" s="148"/>
      <c r="Q335" s="148"/>
      <c r="R335" s="148"/>
      <c r="S335" s="148"/>
      <c r="T335" s="148"/>
      <c r="U335" s="148"/>
      <c r="V335" s="148"/>
      <c r="W335" s="14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/>
      <c r="AH335" s="148"/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  <c r="BI335" s="148"/>
      <c r="BJ335" s="148"/>
      <c r="BK335" s="148"/>
      <c r="BL335" s="148"/>
    </row>
    <row r="336" spans="1:64" x14ac:dyDescent="0.2">
      <c r="A336" s="148"/>
      <c r="B336" s="148"/>
      <c r="C336" s="148"/>
      <c r="D336" s="148"/>
      <c r="E336" s="148"/>
      <c r="F336" s="148"/>
      <c r="G336" s="148"/>
      <c r="H336" s="148"/>
      <c r="I336" s="148"/>
      <c r="J336" s="148"/>
      <c r="K336" s="148"/>
      <c r="L336" s="148"/>
      <c r="M336" s="148"/>
      <c r="N336" s="148"/>
      <c r="O336" s="148"/>
      <c r="P336" s="148"/>
      <c r="Q336" s="148"/>
      <c r="R336" s="148"/>
      <c r="S336" s="148"/>
      <c r="T336" s="148"/>
      <c r="U336" s="148"/>
      <c r="V336" s="148"/>
      <c r="W336" s="148"/>
      <c r="X336" s="148"/>
      <c r="Y336" s="148"/>
      <c r="Z336" s="148"/>
      <c r="AA336" s="148"/>
      <c r="AB336" s="148"/>
      <c r="AC336" s="148"/>
      <c r="AD336" s="148"/>
      <c r="AE336" s="148"/>
      <c r="AF336" s="148"/>
      <c r="AG336" s="148"/>
      <c r="AH336" s="148"/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  <c r="BI336" s="148"/>
      <c r="BJ336" s="148"/>
      <c r="BK336" s="148"/>
      <c r="BL336" s="148"/>
    </row>
    <row r="337" spans="1:64" x14ac:dyDescent="0.2">
      <c r="A337" s="148"/>
      <c r="B337" s="148"/>
      <c r="C337" s="148"/>
      <c r="D337" s="148"/>
      <c r="E337" s="148"/>
      <c r="F337" s="148"/>
      <c r="G337" s="148"/>
      <c r="H337" s="148"/>
      <c r="I337" s="148"/>
      <c r="J337" s="148"/>
      <c r="K337" s="148"/>
      <c r="L337" s="148"/>
      <c r="M337" s="148"/>
      <c r="N337" s="148"/>
      <c r="O337" s="148"/>
      <c r="P337" s="148"/>
      <c r="Q337" s="148"/>
      <c r="R337" s="148"/>
      <c r="S337" s="148"/>
      <c r="T337" s="148"/>
      <c r="U337" s="148"/>
      <c r="V337" s="148"/>
      <c r="W337" s="148"/>
      <c r="X337" s="148"/>
      <c r="Y337" s="148"/>
      <c r="Z337" s="148"/>
      <c r="AA337" s="148"/>
      <c r="AB337" s="148"/>
      <c r="AC337" s="148"/>
      <c r="AD337" s="148"/>
      <c r="AE337" s="148"/>
      <c r="AF337" s="148"/>
      <c r="AG337" s="148"/>
      <c r="AH337" s="148"/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  <c r="BI337" s="148"/>
      <c r="BJ337" s="148"/>
      <c r="BK337" s="148"/>
      <c r="BL337" s="148"/>
    </row>
    <row r="338" spans="1:64" x14ac:dyDescent="0.2">
      <c r="A338" s="148"/>
      <c r="B338" s="148"/>
      <c r="C338" s="148"/>
      <c r="D338" s="148"/>
      <c r="E338" s="148"/>
      <c r="F338" s="148"/>
      <c r="G338" s="148"/>
      <c r="H338" s="148"/>
      <c r="I338" s="148"/>
      <c r="J338" s="148"/>
      <c r="K338" s="148"/>
      <c r="L338" s="148"/>
      <c r="M338" s="148"/>
      <c r="N338" s="148"/>
      <c r="O338" s="148"/>
      <c r="P338" s="148"/>
      <c r="Q338" s="148"/>
      <c r="R338" s="148"/>
      <c r="S338" s="148"/>
      <c r="T338" s="148"/>
      <c r="U338" s="148"/>
      <c r="V338" s="148"/>
      <c r="W338" s="14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/>
      <c r="AH338" s="148"/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  <c r="BI338" s="148"/>
      <c r="BJ338" s="148"/>
      <c r="BK338" s="148"/>
      <c r="BL338" s="148"/>
    </row>
    <row r="339" spans="1:64" x14ac:dyDescent="0.2">
      <c r="A339" s="148"/>
      <c r="B339" s="148"/>
      <c r="C339" s="148"/>
      <c r="D339" s="148"/>
      <c r="E339" s="148"/>
      <c r="F339" s="148"/>
      <c r="G339" s="148"/>
      <c r="H339" s="148"/>
      <c r="I339" s="148"/>
      <c r="J339" s="148"/>
      <c r="K339" s="148"/>
      <c r="L339" s="148"/>
      <c r="M339" s="148"/>
      <c r="N339" s="148"/>
      <c r="O339" s="148"/>
      <c r="P339" s="148"/>
      <c r="Q339" s="148"/>
      <c r="R339" s="148"/>
      <c r="S339" s="148"/>
      <c r="T339" s="148"/>
      <c r="U339" s="148"/>
      <c r="V339" s="148"/>
      <c r="W339" s="148"/>
      <c r="X339" s="148"/>
      <c r="Y339" s="148"/>
      <c r="Z339" s="148"/>
      <c r="AA339" s="148"/>
      <c r="AB339" s="148"/>
      <c r="AC339" s="148"/>
      <c r="AD339" s="148"/>
      <c r="AE339" s="148"/>
      <c r="AF339" s="148"/>
      <c r="AG339" s="148"/>
      <c r="AH339" s="148"/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  <c r="BI339" s="148"/>
      <c r="BJ339" s="148"/>
      <c r="BK339" s="148"/>
      <c r="BL339" s="148"/>
    </row>
    <row r="340" spans="1:64" x14ac:dyDescent="0.2">
      <c r="A340" s="148"/>
      <c r="B340" s="148"/>
      <c r="C340" s="148"/>
      <c r="D340" s="148"/>
      <c r="E340" s="148"/>
      <c r="F340" s="148"/>
      <c r="G340" s="148"/>
      <c r="H340" s="148"/>
      <c r="I340" s="148"/>
      <c r="J340" s="148"/>
      <c r="K340" s="148"/>
      <c r="L340" s="148"/>
      <c r="M340" s="148"/>
      <c r="N340" s="148"/>
      <c r="O340" s="148"/>
      <c r="P340" s="148"/>
      <c r="Q340" s="148"/>
      <c r="R340" s="148"/>
      <c r="S340" s="148"/>
      <c r="T340" s="148"/>
      <c r="U340" s="148"/>
      <c r="V340" s="148"/>
      <c r="W340" s="148"/>
      <c r="X340" s="148"/>
      <c r="Y340" s="148"/>
      <c r="Z340" s="148"/>
      <c r="AA340" s="148"/>
      <c r="AB340" s="148"/>
      <c r="AC340" s="148"/>
      <c r="AD340" s="148"/>
      <c r="AE340" s="148"/>
      <c r="AF340" s="148"/>
      <c r="AG340" s="148"/>
      <c r="AH340" s="148"/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  <c r="BI340" s="148"/>
      <c r="BJ340" s="148"/>
      <c r="BK340" s="148"/>
      <c r="BL340" s="148"/>
    </row>
    <row r="341" spans="1:64" x14ac:dyDescent="0.2">
      <c r="A341" s="148"/>
      <c r="B341" s="148"/>
      <c r="C341" s="148"/>
      <c r="D341" s="148"/>
      <c r="E341" s="148"/>
      <c r="F341" s="148"/>
      <c r="G341" s="148"/>
      <c r="H341" s="148"/>
      <c r="I341" s="148"/>
      <c r="J341" s="148"/>
      <c r="K341" s="148"/>
      <c r="L341" s="148"/>
      <c r="M341" s="148"/>
      <c r="N341" s="148"/>
      <c r="O341" s="148"/>
      <c r="P341" s="148"/>
      <c r="Q341" s="148"/>
      <c r="R341" s="148"/>
      <c r="S341" s="148"/>
      <c r="T341" s="148"/>
      <c r="U341" s="148"/>
      <c r="V341" s="148"/>
      <c r="W341" s="14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/>
      <c r="AH341" s="148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  <c r="BI341" s="148"/>
      <c r="BJ341" s="148"/>
      <c r="BK341" s="148"/>
      <c r="BL341" s="148"/>
    </row>
    <row r="342" spans="1:64" x14ac:dyDescent="0.2">
      <c r="A342" s="148"/>
      <c r="B342" s="148"/>
      <c r="C342" s="14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  <c r="V342" s="148"/>
      <c r="W342" s="14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/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  <c r="BI342" s="148"/>
      <c r="BJ342" s="148"/>
      <c r="BK342" s="148"/>
      <c r="BL342" s="148"/>
    </row>
    <row r="343" spans="1:64" x14ac:dyDescent="0.2">
      <c r="A343" s="148"/>
      <c r="B343" s="148"/>
      <c r="C343" s="148"/>
      <c r="D343" s="148"/>
      <c r="E343" s="148"/>
      <c r="F343" s="148"/>
      <c r="G343" s="148"/>
      <c r="H343" s="148"/>
      <c r="I343" s="148"/>
      <c r="J343" s="148"/>
      <c r="K343" s="148"/>
      <c r="L343" s="148"/>
      <c r="M343" s="148"/>
      <c r="N343" s="148"/>
      <c r="O343" s="148"/>
      <c r="P343" s="148"/>
      <c r="Q343" s="148"/>
      <c r="R343" s="148"/>
      <c r="S343" s="148"/>
      <c r="T343" s="148"/>
      <c r="U343" s="148"/>
      <c r="V343" s="148"/>
      <c r="W343" s="148"/>
      <c r="X343" s="148"/>
      <c r="Y343" s="148"/>
      <c r="Z343" s="148"/>
      <c r="AA343" s="148"/>
      <c r="AB343" s="148"/>
      <c r="AC343" s="148"/>
      <c r="AD343" s="148"/>
      <c r="AE343" s="148"/>
      <c r="AF343" s="148"/>
      <c r="AG343" s="148"/>
      <c r="AH343" s="148"/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  <c r="BI343" s="148"/>
      <c r="BJ343" s="148"/>
      <c r="BK343" s="148"/>
      <c r="BL343" s="148"/>
    </row>
    <row r="344" spans="1:64" x14ac:dyDescent="0.2">
      <c r="A344" s="148"/>
      <c r="B344" s="148"/>
      <c r="C344" s="148"/>
      <c r="D344" s="148"/>
      <c r="E344" s="148"/>
      <c r="F344" s="148"/>
      <c r="G344" s="148"/>
      <c r="H344" s="148"/>
      <c r="I344" s="148"/>
      <c r="J344" s="148"/>
      <c r="K344" s="148"/>
      <c r="L344" s="148"/>
      <c r="M344" s="148"/>
      <c r="N344" s="148"/>
      <c r="O344" s="148"/>
      <c r="P344" s="148"/>
      <c r="Q344" s="148"/>
      <c r="R344" s="148"/>
      <c r="S344" s="148"/>
      <c r="T344" s="148"/>
      <c r="U344" s="148"/>
      <c r="V344" s="148"/>
      <c r="W344" s="148"/>
      <c r="X344" s="148"/>
      <c r="Y344" s="148"/>
      <c r="Z344" s="148"/>
      <c r="AA344" s="148"/>
      <c r="AB344" s="148"/>
      <c r="AC344" s="148"/>
      <c r="AD344" s="148"/>
      <c r="AE344" s="148"/>
      <c r="AF344" s="148"/>
      <c r="AG344" s="148"/>
      <c r="AH344" s="148"/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  <c r="BI344" s="148"/>
      <c r="BJ344" s="148"/>
      <c r="BK344" s="148"/>
      <c r="BL344" s="148"/>
    </row>
    <row r="345" spans="1:64" x14ac:dyDescent="0.2">
      <c r="A345" s="148"/>
      <c r="B345" s="148"/>
      <c r="C345" s="148"/>
      <c r="D345" s="148"/>
      <c r="E345" s="148"/>
      <c r="F345" s="148"/>
      <c r="G345" s="148"/>
      <c r="H345" s="148"/>
      <c r="I345" s="148"/>
      <c r="J345" s="148"/>
      <c r="K345" s="148"/>
      <c r="L345" s="148"/>
      <c r="M345" s="148"/>
      <c r="N345" s="148"/>
      <c r="O345" s="148"/>
      <c r="P345" s="148"/>
      <c r="Q345" s="148"/>
      <c r="R345" s="148"/>
      <c r="S345" s="148"/>
      <c r="T345" s="148"/>
      <c r="U345" s="148"/>
      <c r="V345" s="148"/>
      <c r="W345" s="148"/>
      <c r="X345" s="148"/>
      <c r="Y345" s="148"/>
      <c r="Z345" s="148"/>
      <c r="AA345" s="148"/>
      <c r="AB345" s="148"/>
      <c r="AC345" s="148"/>
      <c r="AD345" s="148"/>
      <c r="AE345" s="148"/>
      <c r="AF345" s="148"/>
      <c r="AG345" s="148"/>
      <c r="AH345" s="148"/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  <c r="BI345" s="148"/>
      <c r="BJ345" s="148"/>
      <c r="BK345" s="148"/>
      <c r="BL345" s="148"/>
    </row>
    <row r="346" spans="1:64" x14ac:dyDescent="0.2">
      <c r="A346" s="148"/>
      <c r="B346" s="148"/>
      <c r="C346" s="148"/>
      <c r="D346" s="148"/>
      <c r="E346" s="148"/>
      <c r="F346" s="148"/>
      <c r="G346" s="148"/>
      <c r="H346" s="148"/>
      <c r="I346" s="148"/>
      <c r="J346" s="148"/>
      <c r="K346" s="148"/>
      <c r="L346" s="148"/>
      <c r="M346" s="148"/>
      <c r="N346" s="148"/>
      <c r="O346" s="148"/>
      <c r="P346" s="148"/>
      <c r="Q346" s="148"/>
      <c r="R346" s="148"/>
      <c r="S346" s="148"/>
      <c r="T346" s="148"/>
      <c r="U346" s="148"/>
      <c r="V346" s="148"/>
      <c r="W346" s="148"/>
      <c r="X346" s="148"/>
      <c r="Y346" s="148"/>
      <c r="Z346" s="148"/>
      <c r="AA346" s="148"/>
      <c r="AB346" s="148"/>
      <c r="AC346" s="148"/>
      <c r="AD346" s="148"/>
      <c r="AE346" s="148"/>
      <c r="AF346" s="148"/>
      <c r="AG346" s="148"/>
      <c r="AH346" s="148"/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  <c r="BI346" s="148"/>
      <c r="BJ346" s="148"/>
      <c r="BK346" s="148"/>
      <c r="BL346" s="148"/>
    </row>
    <row r="347" spans="1:64" x14ac:dyDescent="0.2">
      <c r="A347" s="148"/>
      <c r="B347" s="148"/>
      <c r="C347" s="148"/>
      <c r="D347" s="148"/>
      <c r="E347" s="148"/>
      <c r="F347" s="148"/>
      <c r="G347" s="148"/>
      <c r="H347" s="148"/>
      <c r="I347" s="148"/>
      <c r="J347" s="148"/>
      <c r="K347" s="148"/>
      <c r="L347" s="148"/>
      <c r="M347" s="148"/>
      <c r="N347" s="148"/>
      <c r="O347" s="148"/>
      <c r="P347" s="148"/>
      <c r="Q347" s="148"/>
      <c r="R347" s="148"/>
      <c r="S347" s="148"/>
      <c r="T347" s="148"/>
      <c r="U347" s="148"/>
      <c r="V347" s="148"/>
      <c r="W347" s="148"/>
      <c r="X347" s="148"/>
      <c r="Y347" s="148"/>
      <c r="Z347" s="148"/>
      <c r="AA347" s="148"/>
      <c r="AB347" s="148"/>
      <c r="AC347" s="148"/>
      <c r="AD347" s="148"/>
      <c r="AE347" s="148"/>
      <c r="AF347" s="148"/>
      <c r="AG347" s="148"/>
      <c r="AH347" s="148"/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  <c r="BI347" s="148"/>
      <c r="BJ347" s="148"/>
      <c r="BK347" s="148"/>
      <c r="BL347" s="148"/>
    </row>
    <row r="348" spans="1:64" x14ac:dyDescent="0.2">
      <c r="A348" s="148"/>
      <c r="B348" s="148"/>
      <c r="C348" s="148"/>
      <c r="D348" s="148"/>
      <c r="E348" s="148"/>
      <c r="F348" s="148"/>
      <c r="G348" s="148"/>
      <c r="H348" s="148"/>
      <c r="I348" s="148"/>
      <c r="J348" s="148"/>
      <c r="K348" s="148"/>
      <c r="L348" s="148"/>
      <c r="M348" s="148"/>
      <c r="N348" s="148"/>
      <c r="O348" s="148"/>
      <c r="P348" s="148"/>
      <c r="Q348" s="148"/>
      <c r="R348" s="148"/>
      <c r="S348" s="148"/>
      <c r="T348" s="148"/>
      <c r="U348" s="148"/>
      <c r="V348" s="148"/>
      <c r="W348" s="148"/>
      <c r="X348" s="148"/>
      <c r="Y348" s="148"/>
      <c r="Z348" s="148"/>
      <c r="AA348" s="148"/>
      <c r="AB348" s="148"/>
      <c r="AC348" s="148"/>
      <c r="AD348" s="148"/>
      <c r="AE348" s="148"/>
      <c r="AF348" s="148"/>
      <c r="AG348" s="148"/>
      <c r="AH348" s="148"/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  <c r="BI348" s="148"/>
      <c r="BJ348" s="148"/>
      <c r="BK348" s="148"/>
      <c r="BL348" s="148"/>
    </row>
    <row r="349" spans="1:64" x14ac:dyDescent="0.2">
      <c r="A349" s="148"/>
      <c r="B349" s="148"/>
      <c r="C349" s="148"/>
      <c r="D349" s="148"/>
      <c r="E349" s="148"/>
      <c r="F349" s="148"/>
      <c r="G349" s="148"/>
      <c r="H349" s="148"/>
      <c r="I349" s="148"/>
      <c r="J349" s="148"/>
      <c r="K349" s="148"/>
      <c r="L349" s="148"/>
      <c r="M349" s="148"/>
      <c r="N349" s="148"/>
      <c r="O349" s="148"/>
      <c r="P349" s="148"/>
      <c r="Q349" s="148"/>
      <c r="R349" s="148"/>
      <c r="S349" s="148"/>
      <c r="T349" s="148"/>
      <c r="U349" s="148"/>
      <c r="V349" s="148"/>
      <c r="W349" s="148"/>
      <c r="X349" s="148"/>
      <c r="Y349" s="148"/>
      <c r="Z349" s="148"/>
      <c r="AA349" s="148"/>
      <c r="AB349" s="148"/>
      <c r="AC349" s="148"/>
      <c r="AD349" s="148"/>
      <c r="AE349" s="148"/>
      <c r="AF349" s="148"/>
      <c r="AG349" s="148"/>
      <c r="AH349" s="148"/>
      <c r="AI349" s="148"/>
      <c r="AJ349" s="148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  <c r="BI349" s="148"/>
      <c r="BJ349" s="148"/>
      <c r="BK349" s="148"/>
      <c r="BL349" s="148"/>
    </row>
    <row r="350" spans="1:64" x14ac:dyDescent="0.2">
      <c r="A350" s="148"/>
      <c r="B350" s="148"/>
      <c r="C350" s="148"/>
      <c r="D350" s="148"/>
      <c r="E350" s="148"/>
      <c r="F350" s="148"/>
      <c r="G350" s="148"/>
      <c r="H350" s="148"/>
      <c r="I350" s="148"/>
      <c r="J350" s="148"/>
      <c r="K350" s="148"/>
      <c r="L350" s="148"/>
      <c r="M350" s="148"/>
      <c r="N350" s="148"/>
      <c r="O350" s="148"/>
      <c r="P350" s="148"/>
      <c r="Q350" s="148"/>
      <c r="R350" s="148"/>
      <c r="S350" s="148"/>
      <c r="T350" s="148"/>
      <c r="U350" s="148"/>
      <c r="V350" s="148"/>
      <c r="W350" s="14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/>
      <c r="AH350" s="148"/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  <c r="BI350" s="148"/>
      <c r="BJ350" s="148"/>
      <c r="BK350" s="148"/>
      <c r="BL350" s="148"/>
    </row>
    <row r="351" spans="1:64" x14ac:dyDescent="0.2">
      <c r="A351" s="148"/>
      <c r="B351" s="148"/>
      <c r="C351" s="148"/>
      <c r="D351" s="148"/>
      <c r="E351" s="148"/>
      <c r="F351" s="148"/>
      <c r="G351" s="148"/>
      <c r="H351" s="148"/>
      <c r="I351" s="148"/>
      <c r="J351" s="148"/>
      <c r="K351" s="148"/>
      <c r="L351" s="148"/>
      <c r="M351" s="148"/>
      <c r="N351" s="148"/>
      <c r="O351" s="148"/>
      <c r="P351" s="148"/>
      <c r="Q351" s="148"/>
      <c r="R351" s="148"/>
      <c r="S351" s="148"/>
      <c r="T351" s="148"/>
      <c r="U351" s="148"/>
      <c r="V351" s="148"/>
      <c r="W351" s="148"/>
      <c r="X351" s="148"/>
      <c r="Y351" s="148"/>
      <c r="Z351" s="148"/>
      <c r="AA351" s="148"/>
      <c r="AB351" s="148"/>
      <c r="AC351" s="148"/>
      <c r="AD351" s="148"/>
      <c r="AE351" s="148"/>
      <c r="AF351" s="148"/>
      <c r="AG351" s="148"/>
      <c r="AH351" s="148"/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  <c r="BI351" s="148"/>
      <c r="BJ351" s="148"/>
      <c r="BK351" s="148"/>
      <c r="BL351" s="148"/>
    </row>
    <row r="352" spans="1:64" x14ac:dyDescent="0.2">
      <c r="A352" s="148"/>
      <c r="B352" s="148"/>
      <c r="C352" s="148"/>
      <c r="D352" s="148"/>
      <c r="E352" s="148"/>
      <c r="F352" s="148"/>
      <c r="G352" s="148"/>
      <c r="H352" s="148"/>
      <c r="I352" s="148"/>
      <c r="J352" s="148"/>
      <c r="K352" s="148"/>
      <c r="L352" s="148"/>
      <c r="M352" s="148"/>
      <c r="N352" s="148"/>
      <c r="O352" s="148"/>
      <c r="P352" s="148"/>
      <c r="Q352" s="148"/>
      <c r="R352" s="148"/>
      <c r="S352" s="148"/>
      <c r="T352" s="148"/>
      <c r="U352" s="148"/>
      <c r="V352" s="148"/>
      <c r="W352" s="148"/>
      <c r="X352" s="148"/>
      <c r="Y352" s="148"/>
      <c r="Z352" s="148"/>
      <c r="AA352" s="148"/>
      <c r="AB352" s="148"/>
      <c r="AC352" s="148"/>
      <c r="AD352" s="148"/>
      <c r="AE352" s="148"/>
      <c r="AF352" s="148"/>
      <c r="AG352" s="148"/>
      <c r="AH352" s="148"/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  <c r="BI352" s="148"/>
      <c r="BJ352" s="148"/>
      <c r="BK352" s="148"/>
      <c r="BL352" s="148"/>
    </row>
    <row r="353" spans="1:64" x14ac:dyDescent="0.2">
      <c r="A353" s="148"/>
      <c r="B353" s="148"/>
      <c r="C353" s="148"/>
      <c r="D353" s="148"/>
      <c r="E353" s="148"/>
      <c r="F353" s="148"/>
      <c r="G353" s="148"/>
      <c r="H353" s="148"/>
      <c r="I353" s="148"/>
      <c r="J353" s="148"/>
      <c r="K353" s="148"/>
      <c r="L353" s="148"/>
      <c r="M353" s="148"/>
      <c r="N353" s="148"/>
      <c r="O353" s="148"/>
      <c r="P353" s="148"/>
      <c r="Q353" s="148"/>
      <c r="R353" s="148"/>
      <c r="S353" s="148"/>
      <c r="T353" s="148"/>
      <c r="U353" s="148"/>
      <c r="V353" s="148"/>
      <c r="W353" s="148"/>
      <c r="X353" s="148"/>
      <c r="Y353" s="148"/>
      <c r="Z353" s="148"/>
      <c r="AA353" s="148"/>
      <c r="AB353" s="148"/>
      <c r="AC353" s="148"/>
      <c r="AD353" s="148"/>
      <c r="AE353" s="148"/>
      <c r="AF353" s="148"/>
      <c r="AG353" s="148"/>
      <c r="AH353" s="148"/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  <c r="BI353" s="148"/>
      <c r="BJ353" s="148"/>
      <c r="BK353" s="148"/>
      <c r="BL353" s="148"/>
    </row>
    <row r="354" spans="1:64" x14ac:dyDescent="0.2">
      <c r="A354" s="148"/>
      <c r="B354" s="148"/>
      <c r="C354" s="148"/>
      <c r="D354" s="148"/>
      <c r="E354" s="148"/>
      <c r="F354" s="148"/>
      <c r="G354" s="148"/>
      <c r="H354" s="148"/>
      <c r="I354" s="148"/>
      <c r="J354" s="148"/>
      <c r="K354" s="148"/>
      <c r="L354" s="148"/>
      <c r="M354" s="148"/>
      <c r="N354" s="148"/>
      <c r="O354" s="148"/>
      <c r="P354" s="148"/>
      <c r="Q354" s="148"/>
      <c r="R354" s="148"/>
      <c r="S354" s="148"/>
      <c r="T354" s="148"/>
      <c r="U354" s="148"/>
      <c r="V354" s="148"/>
      <c r="W354" s="148"/>
      <c r="X354" s="148"/>
      <c r="Y354" s="148"/>
      <c r="Z354" s="148"/>
      <c r="AA354" s="148"/>
      <c r="AB354" s="148"/>
      <c r="AC354" s="148"/>
      <c r="AD354" s="148"/>
      <c r="AE354" s="148"/>
      <c r="AF354" s="148"/>
      <c r="AG354" s="148"/>
      <c r="AH354" s="148"/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  <c r="BI354" s="148"/>
      <c r="BJ354" s="148"/>
      <c r="BK354" s="148"/>
      <c r="BL354" s="148"/>
    </row>
    <row r="355" spans="1:64" x14ac:dyDescent="0.2">
      <c r="A355" s="148"/>
      <c r="B355" s="148"/>
      <c r="C355" s="148"/>
      <c r="D355" s="148"/>
      <c r="E355" s="148"/>
      <c r="F355" s="148"/>
      <c r="G355" s="148"/>
      <c r="H355" s="148"/>
      <c r="I355" s="148"/>
      <c r="J355" s="148"/>
      <c r="K355" s="148"/>
      <c r="L355" s="148"/>
      <c r="M355" s="148"/>
      <c r="N355" s="148"/>
      <c r="O355" s="148"/>
      <c r="P355" s="148"/>
      <c r="Q355" s="148"/>
      <c r="R355" s="148"/>
      <c r="S355" s="148"/>
      <c r="T355" s="148"/>
      <c r="U355" s="148"/>
      <c r="V355" s="148"/>
      <c r="W355" s="148"/>
      <c r="X355" s="148"/>
      <c r="Y355" s="148"/>
      <c r="Z355" s="148"/>
      <c r="AA355" s="148"/>
      <c r="AB355" s="148"/>
      <c r="AC355" s="148"/>
      <c r="AD355" s="148"/>
      <c r="AE355" s="148"/>
      <c r="AF355" s="148"/>
      <c r="AG355" s="148"/>
      <c r="AH355" s="148"/>
      <c r="AI355" s="148"/>
      <c r="AJ355" s="148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  <c r="BI355" s="148"/>
      <c r="BJ355" s="148"/>
      <c r="BK355" s="148"/>
      <c r="BL355" s="148"/>
    </row>
    <row r="356" spans="1:64" x14ac:dyDescent="0.2">
      <c r="A356" s="148"/>
      <c r="B356" s="148"/>
      <c r="C356" s="148"/>
      <c r="D356" s="148"/>
      <c r="E356" s="148"/>
      <c r="F356" s="148"/>
      <c r="G356" s="148"/>
      <c r="H356" s="148"/>
      <c r="I356" s="148"/>
      <c r="J356" s="148"/>
      <c r="K356" s="148"/>
      <c r="L356" s="148"/>
      <c r="M356" s="148"/>
      <c r="N356" s="148"/>
      <c r="O356" s="148"/>
      <c r="P356" s="148"/>
      <c r="Q356" s="148"/>
      <c r="R356" s="148"/>
      <c r="S356" s="148"/>
      <c r="T356" s="148"/>
      <c r="U356" s="148"/>
      <c r="V356" s="148"/>
      <c r="W356" s="148"/>
      <c r="X356" s="148"/>
      <c r="Y356" s="148"/>
      <c r="Z356" s="148"/>
      <c r="AA356" s="148"/>
      <c r="AB356" s="148"/>
      <c r="AC356" s="148"/>
      <c r="AD356" s="148"/>
      <c r="AE356" s="148"/>
      <c r="AF356" s="148"/>
      <c r="AG356" s="148"/>
      <c r="AH356" s="148"/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  <c r="BI356" s="148"/>
      <c r="BJ356" s="148"/>
      <c r="BK356" s="148"/>
      <c r="BL356" s="148"/>
    </row>
    <row r="357" spans="1:64" x14ac:dyDescent="0.2">
      <c r="A357" s="148"/>
      <c r="B357" s="148"/>
      <c r="C357" s="148"/>
      <c r="D357" s="148"/>
      <c r="E357" s="148"/>
      <c r="F357" s="148"/>
      <c r="G357" s="148"/>
      <c r="H357" s="148"/>
      <c r="I357" s="148"/>
      <c r="J357" s="148"/>
      <c r="K357" s="148"/>
      <c r="L357" s="148"/>
      <c r="M357" s="148"/>
      <c r="N357" s="148"/>
      <c r="O357" s="148"/>
      <c r="P357" s="148"/>
      <c r="Q357" s="148"/>
      <c r="R357" s="148"/>
      <c r="S357" s="148"/>
      <c r="T357" s="148"/>
      <c r="U357" s="148"/>
      <c r="V357" s="148"/>
      <c r="W357" s="14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/>
      <c r="AH357" s="148"/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  <c r="BI357" s="148"/>
      <c r="BJ357" s="148"/>
      <c r="BK357" s="148"/>
      <c r="BL357" s="148"/>
    </row>
    <row r="358" spans="1:64" x14ac:dyDescent="0.2">
      <c r="A358" s="148"/>
      <c r="B358" s="148"/>
      <c r="C358" s="148"/>
      <c r="D358" s="148"/>
      <c r="E358" s="148"/>
      <c r="F358" s="148"/>
      <c r="G358" s="148"/>
      <c r="H358" s="148"/>
      <c r="I358" s="148"/>
      <c r="J358" s="148"/>
      <c r="K358" s="148"/>
      <c r="L358" s="148"/>
      <c r="M358" s="148"/>
      <c r="N358" s="148"/>
      <c r="O358" s="148"/>
      <c r="P358" s="148"/>
      <c r="Q358" s="148"/>
      <c r="R358" s="148"/>
      <c r="S358" s="148"/>
      <c r="T358" s="148"/>
      <c r="U358" s="148"/>
      <c r="V358" s="148"/>
      <c r="W358" s="148"/>
      <c r="X358" s="148"/>
      <c r="Y358" s="148"/>
      <c r="Z358" s="148"/>
      <c r="AA358" s="148"/>
      <c r="AB358" s="148"/>
      <c r="AC358" s="148"/>
      <c r="AD358" s="148"/>
      <c r="AE358" s="148"/>
      <c r="AF358" s="148"/>
      <c r="AG358" s="148"/>
      <c r="AH358" s="148"/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  <c r="BI358" s="148"/>
      <c r="BJ358" s="148"/>
      <c r="BK358" s="148"/>
      <c r="BL358" s="148"/>
    </row>
    <row r="359" spans="1:64" x14ac:dyDescent="0.2">
      <c r="A359" s="148"/>
      <c r="B359" s="148"/>
      <c r="C359" s="148"/>
      <c r="D359" s="148"/>
      <c r="E359" s="148"/>
      <c r="F359" s="148"/>
      <c r="G359" s="148"/>
      <c r="H359" s="148"/>
      <c r="I359" s="148"/>
      <c r="J359" s="148"/>
      <c r="K359" s="148"/>
      <c r="L359" s="148"/>
      <c r="M359" s="148"/>
      <c r="N359" s="148"/>
      <c r="O359" s="148"/>
      <c r="P359" s="148"/>
      <c r="Q359" s="148"/>
      <c r="R359" s="148"/>
      <c r="S359" s="148"/>
      <c r="T359" s="148"/>
      <c r="U359" s="148"/>
      <c r="V359" s="148"/>
      <c r="W359" s="148"/>
      <c r="X359" s="148"/>
      <c r="Y359" s="148"/>
      <c r="Z359" s="148"/>
      <c r="AA359" s="148"/>
      <c r="AB359" s="148"/>
      <c r="AC359" s="148"/>
      <c r="AD359" s="148"/>
      <c r="AE359" s="148"/>
      <c r="AF359" s="148"/>
      <c r="AG359" s="148"/>
      <c r="AH359" s="148"/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  <c r="BI359" s="148"/>
      <c r="BJ359" s="148"/>
      <c r="BK359" s="148"/>
      <c r="BL359" s="148"/>
    </row>
    <row r="360" spans="1:64" x14ac:dyDescent="0.2">
      <c r="A360" s="148"/>
      <c r="B360" s="148"/>
      <c r="C360" s="148"/>
      <c r="D360" s="148"/>
      <c r="E360" s="148"/>
      <c r="F360" s="148"/>
      <c r="G360" s="148"/>
      <c r="H360" s="148"/>
      <c r="I360" s="148"/>
      <c r="J360" s="148"/>
      <c r="K360" s="148"/>
      <c r="L360" s="148"/>
      <c r="M360" s="148"/>
      <c r="N360" s="148"/>
      <c r="O360" s="148"/>
      <c r="P360" s="148"/>
      <c r="Q360" s="148"/>
      <c r="R360" s="148"/>
      <c r="S360" s="148"/>
      <c r="T360" s="148"/>
      <c r="U360" s="148"/>
      <c r="V360" s="148"/>
      <c r="W360" s="148"/>
      <c r="X360" s="148"/>
      <c r="Y360" s="148"/>
      <c r="Z360" s="148"/>
      <c r="AA360" s="148"/>
      <c r="AB360" s="148"/>
      <c r="AC360" s="148"/>
      <c r="AD360" s="148"/>
      <c r="AE360" s="148"/>
      <c r="AF360" s="148"/>
      <c r="AG360" s="148"/>
      <c r="AH360" s="148"/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  <c r="BI360" s="148"/>
      <c r="BJ360" s="148"/>
      <c r="BK360" s="148"/>
      <c r="BL360" s="148"/>
    </row>
    <row r="361" spans="1:64" x14ac:dyDescent="0.2">
      <c r="A361" s="148"/>
      <c r="B361" s="148"/>
      <c r="C361" s="148"/>
      <c r="D361" s="148"/>
      <c r="E361" s="148"/>
      <c r="F361" s="148"/>
      <c r="G361" s="148"/>
      <c r="H361" s="148"/>
      <c r="I361" s="148"/>
      <c r="J361" s="148"/>
      <c r="K361" s="148"/>
      <c r="L361" s="148"/>
      <c r="M361" s="148"/>
      <c r="N361" s="148"/>
      <c r="O361" s="148"/>
      <c r="P361" s="148"/>
      <c r="Q361" s="148"/>
      <c r="R361" s="148"/>
      <c r="S361" s="148"/>
      <c r="T361" s="148"/>
      <c r="U361" s="148"/>
      <c r="V361" s="148"/>
      <c r="W361" s="14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/>
      <c r="AH361" s="148"/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  <c r="BI361" s="148"/>
      <c r="BJ361" s="148"/>
      <c r="BK361" s="148"/>
      <c r="BL361" s="148"/>
    </row>
    <row r="362" spans="1:64" x14ac:dyDescent="0.2">
      <c r="A362" s="148"/>
      <c r="B362" s="148"/>
      <c r="C362" s="148"/>
      <c r="D362" s="148"/>
      <c r="E362" s="148"/>
      <c r="F362" s="148"/>
      <c r="G362" s="148"/>
      <c r="H362" s="148"/>
      <c r="I362" s="148"/>
      <c r="J362" s="148"/>
      <c r="K362" s="148"/>
      <c r="L362" s="148"/>
      <c r="M362" s="148"/>
      <c r="N362" s="148"/>
      <c r="O362" s="148"/>
      <c r="P362" s="148"/>
      <c r="Q362" s="148"/>
      <c r="R362" s="148"/>
      <c r="S362" s="148"/>
      <c r="T362" s="148"/>
      <c r="U362" s="148"/>
      <c r="V362" s="148"/>
      <c r="W362" s="14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/>
      <c r="AH362" s="148"/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  <c r="BI362" s="148"/>
      <c r="BJ362" s="148"/>
      <c r="BK362" s="148"/>
      <c r="BL362" s="148"/>
    </row>
    <row r="363" spans="1:64" x14ac:dyDescent="0.2">
      <c r="A363" s="148"/>
      <c r="B363" s="148"/>
      <c r="C363" s="148"/>
      <c r="D363" s="148"/>
      <c r="E363" s="148"/>
      <c r="F363" s="148"/>
      <c r="G363" s="148"/>
      <c r="H363" s="148"/>
      <c r="I363" s="148"/>
      <c r="J363" s="148"/>
      <c r="K363" s="148"/>
      <c r="L363" s="148"/>
      <c r="M363" s="148"/>
      <c r="N363" s="148"/>
      <c r="O363" s="148"/>
      <c r="P363" s="148"/>
      <c r="Q363" s="148"/>
      <c r="R363" s="148"/>
      <c r="S363" s="148"/>
      <c r="T363" s="148"/>
      <c r="U363" s="148"/>
      <c r="V363" s="148"/>
      <c r="W363" s="148"/>
      <c r="X363" s="148"/>
      <c r="Y363" s="148"/>
      <c r="Z363" s="148"/>
      <c r="AA363" s="148"/>
      <c r="AB363" s="148"/>
      <c r="AC363" s="148"/>
      <c r="AD363" s="148"/>
      <c r="AE363" s="148"/>
      <c r="AF363" s="148"/>
      <c r="AG363" s="148"/>
      <c r="AH363" s="148"/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  <c r="BI363" s="148"/>
      <c r="BJ363" s="148"/>
      <c r="BK363" s="148"/>
      <c r="BL363" s="148"/>
    </row>
    <row r="364" spans="1:64" x14ac:dyDescent="0.2">
      <c r="A364" s="148"/>
      <c r="B364" s="148"/>
      <c r="C364" s="148"/>
      <c r="D364" s="148"/>
      <c r="E364" s="148"/>
      <c r="F364" s="148"/>
      <c r="G364" s="148"/>
      <c r="H364" s="148"/>
      <c r="I364" s="148"/>
      <c r="J364" s="148"/>
      <c r="K364" s="148"/>
      <c r="L364" s="148"/>
      <c r="M364" s="148"/>
      <c r="N364" s="148"/>
      <c r="O364" s="148"/>
      <c r="P364" s="148"/>
      <c r="Q364" s="148"/>
      <c r="R364" s="148"/>
      <c r="S364" s="148"/>
      <c r="T364" s="148"/>
      <c r="U364" s="148"/>
      <c r="V364" s="148"/>
      <c r="W364" s="148"/>
      <c r="X364" s="148"/>
      <c r="Y364" s="148"/>
      <c r="Z364" s="148"/>
      <c r="AA364" s="148"/>
      <c r="AB364" s="148"/>
      <c r="AC364" s="148"/>
      <c r="AD364" s="148"/>
      <c r="AE364" s="148"/>
      <c r="AF364" s="148"/>
      <c r="AG364" s="148"/>
      <c r="AH364" s="148"/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  <c r="BI364" s="148"/>
      <c r="BJ364" s="148"/>
      <c r="BK364" s="148"/>
      <c r="BL364" s="148"/>
    </row>
    <row r="365" spans="1:64" x14ac:dyDescent="0.2">
      <c r="A365" s="148"/>
      <c r="B365" s="148"/>
      <c r="C365" s="148"/>
      <c r="D365" s="148"/>
      <c r="E365" s="148"/>
      <c r="F365" s="148"/>
      <c r="G365" s="148"/>
      <c r="H365" s="148"/>
      <c r="I365" s="148"/>
      <c r="J365" s="148"/>
      <c r="K365" s="148"/>
      <c r="L365" s="148"/>
      <c r="M365" s="148"/>
      <c r="N365" s="148"/>
      <c r="O365" s="148"/>
      <c r="P365" s="148"/>
      <c r="Q365" s="148"/>
      <c r="R365" s="148"/>
      <c r="S365" s="148"/>
      <c r="T365" s="148"/>
      <c r="U365" s="148"/>
      <c r="V365" s="148"/>
      <c r="W365" s="148"/>
      <c r="X365" s="148"/>
      <c r="Y365" s="148"/>
      <c r="Z365" s="148"/>
      <c r="AA365" s="148"/>
      <c r="AB365" s="148"/>
      <c r="AC365" s="148"/>
      <c r="AD365" s="148"/>
      <c r="AE365" s="148"/>
      <c r="AF365" s="148"/>
      <c r="AG365" s="148"/>
      <c r="AH365" s="148"/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  <c r="BI365" s="148"/>
      <c r="BJ365" s="148"/>
      <c r="BK365" s="148"/>
      <c r="BL365" s="148"/>
    </row>
    <row r="366" spans="1:64" x14ac:dyDescent="0.2">
      <c r="A366" s="148"/>
      <c r="B366" s="148"/>
      <c r="C366" s="148"/>
      <c r="D366" s="148"/>
      <c r="E366" s="148"/>
      <c r="F366" s="148"/>
      <c r="G366" s="148"/>
      <c r="H366" s="148"/>
      <c r="I366" s="148"/>
      <c r="J366" s="148"/>
      <c r="K366" s="148"/>
      <c r="L366" s="148"/>
      <c r="M366" s="148"/>
      <c r="N366" s="148"/>
      <c r="O366" s="148"/>
      <c r="P366" s="148"/>
      <c r="Q366" s="148"/>
      <c r="R366" s="148"/>
      <c r="S366" s="148"/>
      <c r="T366" s="148"/>
      <c r="U366" s="148"/>
      <c r="V366" s="148"/>
      <c r="W366" s="14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/>
      <c r="AH366" s="148"/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  <c r="BI366" s="148"/>
      <c r="BJ366" s="148"/>
      <c r="BK366" s="148"/>
      <c r="BL366" s="148"/>
    </row>
    <row r="367" spans="1:64" x14ac:dyDescent="0.2">
      <c r="A367" s="148"/>
      <c r="B367" s="148"/>
      <c r="C367" s="148"/>
      <c r="D367" s="148"/>
      <c r="E367" s="148"/>
      <c r="F367" s="148"/>
      <c r="G367" s="148"/>
      <c r="H367" s="148"/>
      <c r="I367" s="148"/>
      <c r="J367" s="148"/>
      <c r="K367" s="148"/>
      <c r="L367" s="148"/>
      <c r="M367" s="148"/>
      <c r="N367" s="148"/>
      <c r="O367" s="148"/>
      <c r="P367" s="148"/>
      <c r="Q367" s="148"/>
      <c r="R367" s="148"/>
      <c r="S367" s="148"/>
      <c r="T367" s="148"/>
      <c r="U367" s="148"/>
      <c r="V367" s="148"/>
      <c r="W367" s="14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/>
      <c r="AH367" s="148"/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  <c r="BI367" s="148"/>
      <c r="BJ367" s="148"/>
      <c r="BK367" s="148"/>
      <c r="BL367" s="148"/>
    </row>
    <row r="368" spans="1:64" x14ac:dyDescent="0.2">
      <c r="A368" s="148"/>
      <c r="B368" s="148"/>
      <c r="C368" s="148"/>
      <c r="D368" s="148"/>
      <c r="E368" s="148"/>
      <c r="F368" s="148"/>
      <c r="G368" s="148"/>
      <c r="H368" s="148"/>
      <c r="I368" s="148"/>
      <c r="J368" s="148"/>
      <c r="K368" s="148"/>
      <c r="L368" s="148"/>
      <c r="M368" s="148"/>
      <c r="N368" s="148"/>
      <c r="O368" s="148"/>
      <c r="P368" s="148"/>
      <c r="Q368" s="148"/>
      <c r="R368" s="148"/>
      <c r="S368" s="148"/>
      <c r="T368" s="148"/>
      <c r="U368" s="148"/>
      <c r="V368" s="148"/>
      <c r="W368" s="148"/>
      <c r="X368" s="148"/>
      <c r="Y368" s="148"/>
      <c r="Z368" s="148"/>
      <c r="AA368" s="148"/>
      <c r="AB368" s="148"/>
      <c r="AC368" s="148"/>
      <c r="AD368" s="148"/>
      <c r="AE368" s="148"/>
      <c r="AF368" s="148"/>
      <c r="AG368" s="148"/>
      <c r="AH368" s="148"/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  <c r="BI368" s="148"/>
      <c r="BJ368" s="148"/>
      <c r="BK368" s="148"/>
      <c r="BL368" s="148"/>
    </row>
    <row r="369" spans="1:64" x14ac:dyDescent="0.2">
      <c r="A369" s="148"/>
      <c r="B369" s="148"/>
      <c r="C369" s="148"/>
      <c r="D369" s="148"/>
      <c r="E369" s="148"/>
      <c r="F369" s="148"/>
      <c r="G369" s="148"/>
      <c r="H369" s="148"/>
      <c r="I369" s="148"/>
      <c r="J369" s="148"/>
      <c r="K369" s="148"/>
      <c r="L369" s="148"/>
      <c r="M369" s="148"/>
      <c r="N369" s="148"/>
      <c r="O369" s="148"/>
      <c r="P369" s="148"/>
      <c r="Q369" s="148"/>
      <c r="R369" s="148"/>
      <c r="S369" s="148"/>
      <c r="T369" s="148"/>
      <c r="U369" s="148"/>
      <c r="V369" s="148"/>
      <c r="W369" s="148"/>
      <c r="X369" s="148"/>
      <c r="Y369" s="148"/>
      <c r="Z369" s="148"/>
      <c r="AA369" s="148"/>
      <c r="AB369" s="148"/>
      <c r="AC369" s="148"/>
      <c r="AD369" s="148"/>
      <c r="AE369" s="148"/>
      <c r="AF369" s="148"/>
      <c r="AG369" s="148"/>
      <c r="AH369" s="148"/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  <c r="BI369" s="148"/>
      <c r="BJ369" s="148"/>
      <c r="BK369" s="148"/>
      <c r="BL369" s="148"/>
    </row>
    <row r="370" spans="1:64" x14ac:dyDescent="0.2">
      <c r="A370" s="148"/>
      <c r="B370" s="148"/>
      <c r="C370" s="148"/>
      <c r="D370" s="148"/>
      <c r="E370" s="148"/>
      <c r="F370" s="148"/>
      <c r="G370" s="148"/>
      <c r="H370" s="148"/>
      <c r="I370" s="148"/>
      <c r="J370" s="148"/>
      <c r="K370" s="148"/>
      <c r="L370" s="148"/>
      <c r="M370" s="148"/>
      <c r="N370" s="148"/>
      <c r="O370" s="148"/>
      <c r="P370" s="148"/>
      <c r="Q370" s="148"/>
      <c r="R370" s="148"/>
      <c r="S370" s="148"/>
      <c r="T370" s="148"/>
      <c r="U370" s="148"/>
      <c r="V370" s="148"/>
      <c r="W370" s="148"/>
      <c r="X370" s="148"/>
      <c r="Y370" s="148"/>
      <c r="Z370" s="148"/>
      <c r="AA370" s="148"/>
      <c r="AB370" s="148"/>
      <c r="AC370" s="148"/>
      <c r="AD370" s="148"/>
      <c r="AE370" s="148"/>
      <c r="AF370" s="148"/>
      <c r="AG370" s="148"/>
      <c r="AH370" s="148"/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  <c r="BI370" s="148"/>
      <c r="BJ370" s="148"/>
      <c r="BK370" s="148"/>
      <c r="BL370" s="148"/>
    </row>
    <row r="371" spans="1:64" x14ac:dyDescent="0.2">
      <c r="A371" s="148"/>
      <c r="B371" s="148"/>
      <c r="C371" s="148"/>
      <c r="D371" s="148"/>
      <c r="E371" s="148"/>
      <c r="F371" s="148"/>
      <c r="G371" s="148"/>
      <c r="H371" s="148"/>
      <c r="I371" s="148"/>
      <c r="J371" s="148"/>
      <c r="K371" s="148"/>
      <c r="L371" s="148"/>
      <c r="M371" s="148"/>
      <c r="N371" s="148"/>
      <c r="O371" s="148"/>
      <c r="P371" s="148"/>
      <c r="Q371" s="148"/>
      <c r="R371" s="148"/>
      <c r="S371" s="148"/>
      <c r="T371" s="148"/>
      <c r="U371" s="148"/>
      <c r="V371" s="148"/>
      <c r="W371" s="148"/>
      <c r="X371" s="148"/>
      <c r="Y371" s="148"/>
      <c r="Z371" s="148"/>
      <c r="AA371" s="148"/>
      <c r="AB371" s="148"/>
      <c r="AC371" s="148"/>
      <c r="AD371" s="148"/>
      <c r="AE371" s="148"/>
      <c r="AF371" s="148"/>
      <c r="AG371" s="148"/>
      <c r="AH371" s="148"/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  <c r="BI371" s="148"/>
      <c r="BJ371" s="148"/>
      <c r="BK371" s="148"/>
      <c r="BL371" s="148"/>
    </row>
    <row r="372" spans="1:64" x14ac:dyDescent="0.2">
      <c r="A372" s="148"/>
      <c r="B372" s="148"/>
      <c r="C372" s="148"/>
      <c r="D372" s="148"/>
      <c r="E372" s="148"/>
      <c r="F372" s="148"/>
      <c r="G372" s="148"/>
      <c r="H372" s="148"/>
      <c r="I372" s="148"/>
      <c r="J372" s="148"/>
      <c r="K372" s="148"/>
      <c r="L372" s="148"/>
      <c r="M372" s="148"/>
      <c r="N372" s="148"/>
      <c r="O372" s="148"/>
      <c r="P372" s="148"/>
      <c r="Q372" s="148"/>
      <c r="R372" s="148"/>
      <c r="S372" s="148"/>
      <c r="T372" s="148"/>
      <c r="U372" s="148"/>
      <c r="V372" s="148"/>
      <c r="W372" s="148"/>
      <c r="X372" s="148"/>
      <c r="Y372" s="148"/>
      <c r="Z372" s="148"/>
      <c r="AA372" s="148"/>
      <c r="AB372" s="148"/>
      <c r="AC372" s="148"/>
      <c r="AD372" s="148"/>
      <c r="AE372" s="148"/>
      <c r="AF372" s="148"/>
      <c r="AG372" s="148"/>
      <c r="AH372" s="148"/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  <c r="BI372" s="148"/>
      <c r="BJ372" s="148"/>
      <c r="BK372" s="148"/>
      <c r="BL372" s="148"/>
    </row>
    <row r="373" spans="1:64" x14ac:dyDescent="0.2">
      <c r="A373" s="148"/>
      <c r="B373" s="148"/>
      <c r="C373" s="148"/>
      <c r="D373" s="148"/>
      <c r="E373" s="148"/>
      <c r="F373" s="148"/>
      <c r="G373" s="148"/>
      <c r="H373" s="148"/>
      <c r="I373" s="148"/>
      <c r="J373" s="148"/>
      <c r="K373" s="148"/>
      <c r="L373" s="148"/>
      <c r="M373" s="148"/>
      <c r="N373" s="148"/>
      <c r="O373" s="148"/>
      <c r="P373" s="148"/>
      <c r="Q373" s="148"/>
      <c r="R373" s="148"/>
      <c r="S373" s="148"/>
      <c r="T373" s="148"/>
      <c r="U373" s="148"/>
      <c r="V373" s="148"/>
      <c r="W373" s="148"/>
      <c r="X373" s="148"/>
      <c r="Y373" s="148"/>
      <c r="Z373" s="148"/>
      <c r="AA373" s="148"/>
      <c r="AB373" s="148"/>
      <c r="AC373" s="148"/>
      <c r="AD373" s="148"/>
      <c r="AE373" s="148"/>
      <c r="AF373" s="148"/>
      <c r="AG373" s="148"/>
      <c r="AH373" s="148"/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  <c r="BI373" s="148"/>
      <c r="BJ373" s="148"/>
      <c r="BK373" s="148"/>
      <c r="BL373" s="148"/>
    </row>
    <row r="374" spans="1:64" x14ac:dyDescent="0.2">
      <c r="A374" s="148"/>
      <c r="B374" s="148"/>
      <c r="C374" s="148"/>
      <c r="D374" s="148"/>
      <c r="E374" s="148"/>
      <c r="F374" s="148"/>
      <c r="G374" s="148"/>
      <c r="H374" s="148"/>
      <c r="I374" s="148"/>
      <c r="J374" s="148"/>
      <c r="K374" s="148"/>
      <c r="L374" s="148"/>
      <c r="M374" s="148"/>
      <c r="N374" s="148"/>
      <c r="O374" s="148"/>
      <c r="P374" s="148"/>
      <c r="Q374" s="148"/>
      <c r="R374" s="148"/>
      <c r="S374" s="148"/>
      <c r="T374" s="148"/>
      <c r="U374" s="148"/>
      <c r="V374" s="148"/>
      <c r="W374" s="148"/>
      <c r="X374" s="148"/>
      <c r="Y374" s="148"/>
      <c r="Z374" s="148"/>
      <c r="AA374" s="148"/>
      <c r="AB374" s="148"/>
      <c r="AC374" s="148"/>
      <c r="AD374" s="148"/>
      <c r="AE374" s="148"/>
      <c r="AF374" s="148"/>
      <c r="AG374" s="148"/>
      <c r="AH374" s="148"/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  <c r="BI374" s="148"/>
      <c r="BJ374" s="148"/>
      <c r="BK374" s="148"/>
      <c r="BL374" s="148"/>
    </row>
    <row r="375" spans="1:64" x14ac:dyDescent="0.2">
      <c r="A375" s="148"/>
      <c r="B375" s="148"/>
      <c r="C375" s="148"/>
      <c r="D375" s="148"/>
      <c r="E375" s="148"/>
      <c r="F375" s="148"/>
      <c r="G375" s="148"/>
      <c r="H375" s="148"/>
      <c r="I375" s="148"/>
      <c r="J375" s="148"/>
      <c r="K375" s="148"/>
      <c r="L375" s="148"/>
      <c r="M375" s="148"/>
      <c r="N375" s="148"/>
      <c r="O375" s="148"/>
      <c r="P375" s="148"/>
      <c r="Q375" s="148"/>
      <c r="R375" s="148"/>
      <c r="S375" s="148"/>
      <c r="T375" s="148"/>
      <c r="U375" s="148"/>
      <c r="V375" s="148"/>
      <c r="W375" s="148"/>
      <c r="X375" s="148"/>
      <c r="Y375" s="148"/>
      <c r="Z375" s="148"/>
      <c r="AA375" s="148"/>
      <c r="AB375" s="148"/>
      <c r="AC375" s="148"/>
      <c r="AD375" s="148"/>
      <c r="AE375" s="148"/>
      <c r="AF375" s="148"/>
      <c r="AG375" s="148"/>
      <c r="AH375" s="148"/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  <c r="BI375" s="148"/>
      <c r="BJ375" s="148"/>
      <c r="BK375" s="148"/>
      <c r="BL375" s="148"/>
    </row>
    <row r="376" spans="1:64" x14ac:dyDescent="0.2">
      <c r="A376" s="148"/>
      <c r="B376" s="148"/>
      <c r="C376" s="148"/>
      <c r="D376" s="148"/>
      <c r="E376" s="148"/>
      <c r="F376" s="148"/>
      <c r="G376" s="148"/>
      <c r="H376" s="148"/>
      <c r="I376" s="148"/>
      <c r="J376" s="148"/>
      <c r="K376" s="148"/>
      <c r="L376" s="148"/>
      <c r="M376" s="148"/>
      <c r="N376" s="148"/>
      <c r="O376" s="148"/>
      <c r="P376" s="148"/>
      <c r="Q376" s="148"/>
      <c r="R376" s="148"/>
      <c r="S376" s="148"/>
      <c r="T376" s="148"/>
      <c r="U376" s="148"/>
      <c r="V376" s="148"/>
      <c r="W376" s="148"/>
      <c r="X376" s="148"/>
      <c r="Y376" s="148"/>
      <c r="Z376" s="148"/>
      <c r="AA376" s="148"/>
      <c r="AB376" s="148"/>
      <c r="AC376" s="148"/>
      <c r="AD376" s="148"/>
      <c r="AE376" s="148"/>
      <c r="AF376" s="148"/>
      <c r="AG376" s="148"/>
      <c r="AH376" s="148"/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  <c r="BI376" s="148"/>
      <c r="BJ376" s="148"/>
      <c r="BK376" s="148"/>
      <c r="BL376" s="148"/>
    </row>
    <row r="377" spans="1:64" x14ac:dyDescent="0.2">
      <c r="A377" s="148"/>
      <c r="B377" s="148"/>
      <c r="C377" s="148"/>
      <c r="D377" s="148"/>
      <c r="E377" s="148"/>
      <c r="F377" s="148"/>
      <c r="G377" s="148"/>
      <c r="H377" s="148"/>
      <c r="I377" s="148"/>
      <c r="J377" s="148"/>
      <c r="K377" s="148"/>
      <c r="L377" s="148"/>
      <c r="M377" s="148"/>
      <c r="N377" s="148"/>
      <c r="O377" s="148"/>
      <c r="P377" s="148"/>
      <c r="Q377" s="148"/>
      <c r="R377" s="148"/>
      <c r="S377" s="148"/>
      <c r="T377" s="148"/>
      <c r="U377" s="148"/>
      <c r="V377" s="148"/>
      <c r="W377" s="148"/>
      <c r="X377" s="148"/>
      <c r="Y377" s="148"/>
      <c r="Z377" s="148"/>
      <c r="AA377" s="148"/>
      <c r="AB377" s="148"/>
      <c r="AC377" s="148"/>
      <c r="AD377" s="148"/>
      <c r="AE377" s="148"/>
      <c r="AF377" s="148"/>
      <c r="AG377" s="148"/>
      <c r="AH377" s="148"/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  <c r="BI377" s="148"/>
      <c r="BJ377" s="148"/>
      <c r="BK377" s="148"/>
      <c r="BL377" s="148"/>
    </row>
    <row r="378" spans="1:64" x14ac:dyDescent="0.2">
      <c r="A378" s="148"/>
      <c r="B378" s="148"/>
      <c r="C378" s="148"/>
      <c r="D378" s="148"/>
      <c r="E378" s="148"/>
      <c r="F378" s="148"/>
      <c r="G378" s="148"/>
      <c r="H378" s="148"/>
      <c r="I378" s="148"/>
      <c r="J378" s="148"/>
      <c r="K378" s="148"/>
      <c r="L378" s="148"/>
      <c r="M378" s="148"/>
      <c r="N378" s="148"/>
      <c r="O378" s="148"/>
      <c r="P378" s="148"/>
      <c r="Q378" s="148"/>
      <c r="R378" s="148"/>
      <c r="S378" s="148"/>
      <c r="T378" s="148"/>
      <c r="U378" s="148"/>
      <c r="V378" s="148"/>
      <c r="W378" s="14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/>
      <c r="AH378" s="148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  <c r="BI378" s="148"/>
      <c r="BJ378" s="148"/>
      <c r="BK378" s="148"/>
      <c r="BL378" s="148"/>
    </row>
    <row r="379" spans="1:64" x14ac:dyDescent="0.2">
      <c r="A379" s="148"/>
      <c r="B379" s="148"/>
      <c r="C379" s="148"/>
      <c r="D379" s="148"/>
      <c r="E379" s="148"/>
      <c r="F379" s="148"/>
      <c r="G379" s="148"/>
      <c r="H379" s="148"/>
      <c r="I379" s="148"/>
      <c r="J379" s="148"/>
      <c r="K379" s="148"/>
      <c r="L379" s="148"/>
      <c r="M379" s="148"/>
      <c r="N379" s="148"/>
      <c r="O379" s="148"/>
      <c r="P379" s="148"/>
      <c r="Q379" s="148"/>
      <c r="R379" s="148"/>
      <c r="S379" s="148"/>
      <c r="T379" s="148"/>
      <c r="U379" s="148"/>
      <c r="V379" s="148"/>
      <c r="W379" s="148"/>
      <c r="X379" s="148"/>
      <c r="Y379" s="148"/>
      <c r="Z379" s="148"/>
      <c r="AA379" s="148"/>
      <c r="AB379" s="148"/>
      <c r="AC379" s="148"/>
      <c r="AD379" s="148"/>
      <c r="AE379" s="148"/>
      <c r="AF379" s="148"/>
      <c r="AG379" s="148"/>
      <c r="AH379" s="148"/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H379" s="148"/>
      <c r="BI379" s="148"/>
      <c r="BJ379" s="148"/>
      <c r="BK379" s="148"/>
      <c r="BL379" s="148"/>
    </row>
    <row r="380" spans="1:64" x14ac:dyDescent="0.2">
      <c r="A380" s="148"/>
      <c r="B380" s="148"/>
      <c r="C380" s="148"/>
      <c r="D380" s="148"/>
      <c r="E380" s="148"/>
      <c r="F380" s="148"/>
      <c r="G380" s="148"/>
      <c r="H380" s="148"/>
      <c r="I380" s="148"/>
      <c r="J380" s="148"/>
      <c r="K380" s="148"/>
      <c r="L380" s="148"/>
      <c r="M380" s="148"/>
      <c r="N380" s="148"/>
      <c r="O380" s="148"/>
      <c r="P380" s="148"/>
      <c r="Q380" s="148"/>
      <c r="R380" s="148"/>
      <c r="S380" s="148"/>
      <c r="T380" s="148"/>
      <c r="U380" s="148"/>
      <c r="V380" s="148"/>
      <c r="W380" s="14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/>
      <c r="AH380" s="148"/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  <c r="BI380" s="148"/>
      <c r="BJ380" s="148"/>
      <c r="BK380" s="148"/>
      <c r="BL380" s="148"/>
    </row>
    <row r="381" spans="1:64" x14ac:dyDescent="0.2">
      <c r="A381" s="148"/>
      <c r="B381" s="148"/>
      <c r="C381" s="148"/>
      <c r="D381" s="148"/>
      <c r="E381" s="148"/>
      <c r="F381" s="148"/>
      <c r="G381" s="148"/>
      <c r="H381" s="148"/>
      <c r="I381" s="148"/>
      <c r="J381" s="148"/>
      <c r="K381" s="148"/>
      <c r="L381" s="148"/>
      <c r="M381" s="148"/>
      <c r="N381" s="148"/>
      <c r="O381" s="148"/>
      <c r="P381" s="148"/>
      <c r="Q381" s="148"/>
      <c r="R381" s="148"/>
      <c r="S381" s="148"/>
      <c r="T381" s="148"/>
      <c r="U381" s="148"/>
      <c r="V381" s="148"/>
      <c r="W381" s="14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/>
      <c r="AH381" s="148"/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  <c r="BI381" s="148"/>
      <c r="BJ381" s="148"/>
      <c r="BK381" s="148"/>
      <c r="BL381" s="148"/>
    </row>
    <row r="382" spans="1:64" x14ac:dyDescent="0.2">
      <c r="A382" s="148"/>
      <c r="B382" s="148"/>
      <c r="C382" s="148"/>
      <c r="D382" s="148"/>
      <c r="E382" s="148"/>
      <c r="F382" s="148"/>
      <c r="G382" s="148"/>
      <c r="H382" s="148"/>
      <c r="I382" s="148"/>
      <c r="J382" s="148"/>
      <c r="K382" s="148"/>
      <c r="L382" s="148"/>
      <c r="M382" s="148"/>
      <c r="N382" s="148"/>
      <c r="O382" s="148"/>
      <c r="P382" s="148"/>
      <c r="Q382" s="148"/>
      <c r="R382" s="148"/>
      <c r="S382" s="148"/>
      <c r="T382" s="148"/>
      <c r="U382" s="148"/>
      <c r="V382" s="148"/>
      <c r="W382" s="148"/>
      <c r="X382" s="148"/>
      <c r="Y382" s="148"/>
      <c r="Z382" s="148"/>
      <c r="AA382" s="148"/>
      <c r="AB382" s="148"/>
      <c r="AC382" s="148"/>
      <c r="AD382" s="148"/>
      <c r="AE382" s="148"/>
      <c r="AF382" s="148"/>
      <c r="AG382" s="148"/>
      <c r="AH382" s="148"/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  <c r="BI382" s="148"/>
      <c r="BJ382" s="148"/>
      <c r="BK382" s="148"/>
      <c r="BL382" s="148"/>
    </row>
    <row r="383" spans="1:64" x14ac:dyDescent="0.2">
      <c r="A383" s="148"/>
      <c r="B383" s="148"/>
      <c r="C383" s="148"/>
      <c r="D383" s="148"/>
      <c r="E383" s="148"/>
      <c r="F383" s="148"/>
      <c r="G383" s="148"/>
      <c r="H383" s="148"/>
      <c r="I383" s="148"/>
      <c r="J383" s="148"/>
      <c r="K383" s="148"/>
      <c r="L383" s="148"/>
      <c r="M383" s="148"/>
      <c r="N383" s="148"/>
      <c r="O383" s="148"/>
      <c r="P383" s="148"/>
      <c r="Q383" s="148"/>
      <c r="R383" s="148"/>
      <c r="S383" s="148"/>
      <c r="T383" s="148"/>
      <c r="U383" s="148"/>
      <c r="V383" s="148"/>
      <c r="W383" s="148"/>
      <c r="X383" s="148"/>
      <c r="Y383" s="148"/>
      <c r="Z383" s="148"/>
      <c r="AA383" s="148"/>
      <c r="AB383" s="148"/>
      <c r="AC383" s="148"/>
      <c r="AD383" s="148"/>
      <c r="AE383" s="148"/>
      <c r="AF383" s="148"/>
      <c r="AG383" s="148"/>
      <c r="AH383" s="148"/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  <c r="BI383" s="148"/>
      <c r="BJ383" s="148"/>
      <c r="BK383" s="148"/>
      <c r="BL383" s="148"/>
    </row>
    <row r="384" spans="1:64" x14ac:dyDescent="0.2">
      <c r="A384" s="148"/>
      <c r="B384" s="148"/>
      <c r="C384" s="148"/>
      <c r="D384" s="148"/>
      <c r="E384" s="148"/>
      <c r="F384" s="148"/>
      <c r="G384" s="148"/>
      <c r="H384" s="148"/>
      <c r="I384" s="148"/>
      <c r="J384" s="148"/>
      <c r="K384" s="148"/>
      <c r="L384" s="148"/>
      <c r="M384" s="148"/>
      <c r="N384" s="148"/>
      <c r="O384" s="148"/>
      <c r="P384" s="148"/>
      <c r="Q384" s="148"/>
      <c r="R384" s="148"/>
      <c r="S384" s="148"/>
      <c r="T384" s="148"/>
      <c r="U384" s="148"/>
      <c r="V384" s="148"/>
      <c r="W384" s="14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/>
      <c r="AH384" s="148"/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  <c r="BI384" s="148"/>
      <c r="BJ384" s="148"/>
      <c r="BK384" s="148"/>
      <c r="BL384" s="148"/>
    </row>
    <row r="385" spans="1:64" x14ac:dyDescent="0.2">
      <c r="A385" s="148"/>
      <c r="B385" s="148"/>
      <c r="C385" s="148"/>
      <c r="D385" s="148"/>
      <c r="E385" s="148"/>
      <c r="F385" s="148"/>
      <c r="G385" s="148"/>
      <c r="H385" s="148"/>
      <c r="I385" s="148"/>
      <c r="J385" s="148"/>
      <c r="K385" s="148"/>
      <c r="L385" s="148"/>
      <c r="M385" s="148"/>
      <c r="N385" s="148"/>
      <c r="O385" s="148"/>
      <c r="P385" s="148"/>
      <c r="Q385" s="148"/>
      <c r="R385" s="148"/>
      <c r="S385" s="148"/>
      <c r="T385" s="148"/>
      <c r="U385" s="148"/>
      <c r="V385" s="148"/>
      <c r="W385" s="148"/>
      <c r="X385" s="148"/>
      <c r="Y385" s="148"/>
      <c r="Z385" s="148"/>
      <c r="AA385" s="148"/>
      <c r="AB385" s="148"/>
      <c r="AC385" s="148"/>
      <c r="AD385" s="148"/>
      <c r="AE385" s="148"/>
      <c r="AF385" s="148"/>
      <c r="AG385" s="148"/>
      <c r="AH385" s="148"/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H385" s="148"/>
      <c r="BI385" s="148"/>
      <c r="BJ385" s="148"/>
      <c r="BK385" s="148"/>
      <c r="BL385" s="148"/>
    </row>
    <row r="386" spans="1:64" x14ac:dyDescent="0.2">
      <c r="A386" s="148"/>
      <c r="B386" s="148"/>
      <c r="C386" s="148"/>
      <c r="D386" s="148"/>
      <c r="E386" s="148"/>
      <c r="F386" s="148"/>
      <c r="G386" s="148"/>
      <c r="H386" s="148"/>
      <c r="I386" s="148"/>
      <c r="J386" s="148"/>
      <c r="K386" s="148"/>
      <c r="L386" s="148"/>
      <c r="M386" s="148"/>
      <c r="N386" s="148"/>
      <c r="O386" s="148"/>
      <c r="P386" s="148"/>
      <c r="Q386" s="148"/>
      <c r="R386" s="148"/>
      <c r="S386" s="148"/>
      <c r="T386" s="148"/>
      <c r="U386" s="148"/>
      <c r="V386" s="148"/>
      <c r="W386" s="148"/>
      <c r="X386" s="148"/>
      <c r="Y386" s="148"/>
      <c r="Z386" s="148"/>
      <c r="AA386" s="148"/>
      <c r="AB386" s="148"/>
      <c r="AC386" s="148"/>
      <c r="AD386" s="148"/>
      <c r="AE386" s="148"/>
      <c r="AF386" s="148"/>
      <c r="AG386" s="148"/>
      <c r="AH386" s="148"/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  <c r="BI386" s="148"/>
      <c r="BJ386" s="148"/>
      <c r="BK386" s="148"/>
      <c r="BL386" s="148"/>
    </row>
    <row r="387" spans="1:64" x14ac:dyDescent="0.2">
      <c r="A387" s="148"/>
      <c r="B387" s="148"/>
      <c r="C387" s="148"/>
      <c r="D387" s="148"/>
      <c r="E387" s="148"/>
      <c r="F387" s="148"/>
      <c r="G387" s="148"/>
      <c r="H387" s="148"/>
      <c r="I387" s="148"/>
      <c r="J387" s="148"/>
      <c r="K387" s="148"/>
      <c r="L387" s="148"/>
      <c r="M387" s="148"/>
      <c r="N387" s="148"/>
      <c r="O387" s="148"/>
      <c r="P387" s="148"/>
      <c r="Q387" s="148"/>
      <c r="R387" s="148"/>
      <c r="S387" s="148"/>
      <c r="T387" s="148"/>
      <c r="U387" s="148"/>
      <c r="V387" s="148"/>
      <c r="W387" s="14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/>
      <c r="AH387" s="148"/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  <c r="BI387" s="148"/>
      <c r="BJ387" s="148"/>
      <c r="BK387" s="148"/>
      <c r="BL387" s="148"/>
    </row>
    <row r="388" spans="1:64" x14ac:dyDescent="0.2">
      <c r="A388" s="148"/>
      <c r="B388" s="148"/>
      <c r="C388" s="148"/>
      <c r="D388" s="148"/>
      <c r="E388" s="148"/>
      <c r="F388" s="148"/>
      <c r="G388" s="148"/>
      <c r="H388" s="148"/>
      <c r="I388" s="148"/>
      <c r="J388" s="148"/>
      <c r="K388" s="148"/>
      <c r="L388" s="148"/>
      <c r="M388" s="148"/>
      <c r="N388" s="148"/>
      <c r="O388" s="148"/>
      <c r="P388" s="148"/>
      <c r="Q388" s="148"/>
      <c r="R388" s="148"/>
      <c r="S388" s="148"/>
      <c r="T388" s="148"/>
      <c r="U388" s="148"/>
      <c r="V388" s="148"/>
      <c r="W388" s="14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/>
      <c r="AH388" s="148"/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  <c r="BI388" s="148"/>
      <c r="BJ388" s="148"/>
      <c r="BK388" s="148"/>
      <c r="BL388" s="148"/>
    </row>
    <row r="389" spans="1:64" x14ac:dyDescent="0.2">
      <c r="A389" s="148"/>
      <c r="B389" s="148"/>
      <c r="C389" s="148"/>
      <c r="D389" s="148"/>
      <c r="E389" s="148"/>
      <c r="F389" s="148"/>
      <c r="G389" s="148"/>
      <c r="H389" s="148"/>
      <c r="I389" s="148"/>
      <c r="J389" s="148"/>
      <c r="K389" s="148"/>
      <c r="L389" s="148"/>
      <c r="M389" s="148"/>
      <c r="N389" s="148"/>
      <c r="O389" s="148"/>
      <c r="P389" s="148"/>
      <c r="Q389" s="148"/>
      <c r="R389" s="148"/>
      <c r="S389" s="148"/>
      <c r="T389" s="148"/>
      <c r="U389" s="148"/>
      <c r="V389" s="148"/>
      <c r="W389" s="14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/>
      <c r="AH389" s="148"/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  <c r="BI389" s="148"/>
      <c r="BJ389" s="148"/>
      <c r="BK389" s="148"/>
      <c r="BL389" s="148"/>
    </row>
    <row r="390" spans="1:64" x14ac:dyDescent="0.2">
      <c r="A390" s="148"/>
      <c r="B390" s="148"/>
      <c r="C390" s="148"/>
      <c r="D390" s="148"/>
      <c r="E390" s="148"/>
      <c r="F390" s="148"/>
      <c r="G390" s="148"/>
      <c r="H390" s="148"/>
      <c r="I390" s="148"/>
      <c r="J390" s="148"/>
      <c r="K390" s="148"/>
      <c r="L390" s="148"/>
      <c r="M390" s="148"/>
      <c r="N390" s="148"/>
      <c r="O390" s="148"/>
      <c r="P390" s="148"/>
      <c r="Q390" s="148"/>
      <c r="R390" s="148"/>
      <c r="S390" s="148"/>
      <c r="T390" s="148"/>
      <c r="U390" s="148"/>
      <c r="V390" s="148"/>
      <c r="W390" s="14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/>
      <c r="AH390" s="148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  <c r="BI390" s="148"/>
      <c r="BJ390" s="148"/>
      <c r="BK390" s="148"/>
      <c r="BL390" s="148"/>
    </row>
    <row r="391" spans="1:64" x14ac:dyDescent="0.2">
      <c r="A391" s="148"/>
      <c r="B391" s="148"/>
      <c r="C391" s="148"/>
      <c r="D391" s="148"/>
      <c r="E391" s="148"/>
      <c r="F391" s="148"/>
      <c r="G391" s="148"/>
      <c r="H391" s="148"/>
      <c r="I391" s="148"/>
      <c r="J391" s="148"/>
      <c r="K391" s="148"/>
      <c r="L391" s="148"/>
      <c r="M391" s="148"/>
      <c r="N391" s="148"/>
      <c r="O391" s="148"/>
      <c r="P391" s="148"/>
      <c r="Q391" s="148"/>
      <c r="R391" s="148"/>
      <c r="S391" s="148"/>
      <c r="T391" s="148"/>
      <c r="U391" s="148"/>
      <c r="V391" s="148"/>
      <c r="W391" s="14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  <c r="BI391" s="148"/>
      <c r="BJ391" s="148"/>
      <c r="BK391" s="148"/>
      <c r="BL391" s="148"/>
    </row>
    <row r="392" spans="1:64" x14ac:dyDescent="0.2">
      <c r="A392" s="148"/>
      <c r="B392" s="148"/>
      <c r="C392" s="148"/>
      <c r="D392" s="148"/>
      <c r="E392" s="148"/>
      <c r="F392" s="148"/>
      <c r="G392" s="148"/>
      <c r="H392" s="148"/>
      <c r="I392" s="148"/>
      <c r="J392" s="148"/>
      <c r="K392" s="148"/>
      <c r="L392" s="148"/>
      <c r="M392" s="148"/>
      <c r="N392" s="148"/>
      <c r="O392" s="148"/>
      <c r="P392" s="148"/>
      <c r="Q392" s="148"/>
      <c r="R392" s="148"/>
      <c r="S392" s="148"/>
      <c r="T392" s="148"/>
      <c r="U392" s="148"/>
      <c r="V392" s="148"/>
      <c r="W392" s="14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  <c r="BI392" s="148"/>
      <c r="BJ392" s="148"/>
      <c r="BK392" s="148"/>
      <c r="BL392" s="148"/>
    </row>
    <row r="393" spans="1:64" x14ac:dyDescent="0.2">
      <c r="A393" s="148"/>
      <c r="B393" s="148"/>
      <c r="C393" s="148"/>
      <c r="D393" s="148"/>
      <c r="E393" s="148"/>
      <c r="F393" s="148"/>
      <c r="G393" s="148"/>
      <c r="H393" s="148"/>
      <c r="I393" s="148"/>
      <c r="J393" s="148"/>
      <c r="K393" s="148"/>
      <c r="L393" s="148"/>
      <c r="M393" s="148"/>
      <c r="N393" s="148"/>
      <c r="O393" s="148"/>
      <c r="P393" s="148"/>
      <c r="Q393" s="148"/>
      <c r="R393" s="148"/>
      <c r="S393" s="148"/>
      <c r="T393" s="148"/>
      <c r="U393" s="148"/>
      <c r="V393" s="148"/>
      <c r="W393" s="14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/>
      <c r="AH393" s="148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  <c r="BI393" s="148"/>
      <c r="BJ393" s="148"/>
      <c r="BK393" s="148"/>
      <c r="BL393" s="148"/>
    </row>
    <row r="394" spans="1:64" x14ac:dyDescent="0.2">
      <c r="A394" s="148"/>
      <c r="B394" s="148"/>
      <c r="C394" s="148"/>
      <c r="D394" s="148"/>
      <c r="E394" s="148"/>
      <c r="F394" s="148"/>
      <c r="G394" s="148"/>
      <c r="H394" s="148"/>
      <c r="I394" s="148"/>
      <c r="J394" s="148"/>
      <c r="K394" s="148"/>
      <c r="L394" s="148"/>
      <c r="M394" s="148"/>
      <c r="N394" s="148"/>
      <c r="O394" s="148"/>
      <c r="P394" s="148"/>
      <c r="Q394" s="148"/>
      <c r="R394" s="148"/>
      <c r="S394" s="148"/>
      <c r="T394" s="148"/>
      <c r="U394" s="148"/>
      <c r="V394" s="148"/>
      <c r="W394" s="14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  <c r="BI394" s="148"/>
      <c r="BJ394" s="148"/>
      <c r="BK394" s="148"/>
      <c r="BL394" s="148"/>
    </row>
    <row r="395" spans="1:64" x14ac:dyDescent="0.2">
      <c r="A395" s="148"/>
      <c r="B395" s="148"/>
      <c r="C395" s="148"/>
      <c r="D395" s="148"/>
      <c r="E395" s="148"/>
      <c r="F395" s="148"/>
      <c r="G395" s="148"/>
      <c r="H395" s="148"/>
      <c r="I395" s="148"/>
      <c r="J395" s="148"/>
      <c r="K395" s="148"/>
      <c r="L395" s="148"/>
      <c r="M395" s="148"/>
      <c r="N395" s="148"/>
      <c r="O395" s="148"/>
      <c r="P395" s="148"/>
      <c r="Q395" s="148"/>
      <c r="R395" s="148"/>
      <c r="S395" s="148"/>
      <c r="T395" s="148"/>
      <c r="U395" s="148"/>
      <c r="V395" s="148"/>
      <c r="W395" s="14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48"/>
      <c r="BJ395" s="148"/>
      <c r="BK395" s="148"/>
      <c r="BL395" s="148"/>
    </row>
    <row r="396" spans="1:64" x14ac:dyDescent="0.2">
      <c r="A396" s="148"/>
      <c r="B396" s="148"/>
      <c r="C396" s="148"/>
      <c r="D396" s="148"/>
      <c r="E396" s="148"/>
      <c r="F396" s="148"/>
      <c r="G396" s="148"/>
      <c r="H396" s="148"/>
      <c r="I396" s="148"/>
      <c r="J396" s="148"/>
      <c r="K396" s="148"/>
      <c r="L396" s="148"/>
      <c r="M396" s="148"/>
      <c r="N396" s="148"/>
      <c r="O396" s="148"/>
      <c r="P396" s="148"/>
      <c r="Q396" s="148"/>
      <c r="R396" s="148"/>
      <c r="S396" s="148"/>
      <c r="T396" s="148"/>
      <c r="U396" s="148"/>
      <c r="V396" s="148"/>
      <c r="W396" s="14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  <c r="BI396" s="148"/>
      <c r="BJ396" s="148"/>
      <c r="BK396" s="148"/>
      <c r="BL396" s="148"/>
    </row>
    <row r="397" spans="1:64" x14ac:dyDescent="0.2">
      <c r="A397" s="148"/>
      <c r="B397" s="148"/>
      <c r="C397" s="148"/>
      <c r="D397" s="148"/>
      <c r="E397" s="148"/>
      <c r="F397" s="148"/>
      <c r="G397" s="148"/>
      <c r="H397" s="148"/>
      <c r="I397" s="148"/>
      <c r="J397" s="148"/>
      <c r="K397" s="148"/>
      <c r="L397" s="148"/>
      <c r="M397" s="148"/>
      <c r="N397" s="148"/>
      <c r="O397" s="148"/>
      <c r="P397" s="148"/>
      <c r="Q397" s="148"/>
      <c r="R397" s="148"/>
      <c r="S397" s="148"/>
      <c r="T397" s="148"/>
      <c r="U397" s="148"/>
      <c r="V397" s="148"/>
      <c r="W397" s="14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  <c r="BI397" s="148"/>
      <c r="BJ397" s="148"/>
      <c r="BK397" s="148"/>
      <c r="BL397" s="148"/>
    </row>
    <row r="398" spans="1:64" x14ac:dyDescent="0.2">
      <c r="A398" s="148"/>
      <c r="B398" s="148"/>
      <c r="C398" s="148"/>
      <c r="D398" s="148"/>
      <c r="E398" s="148"/>
      <c r="F398" s="148"/>
      <c r="G398" s="148"/>
      <c r="H398" s="148"/>
      <c r="I398" s="148"/>
      <c r="J398" s="148"/>
      <c r="K398" s="148"/>
      <c r="L398" s="148"/>
      <c r="M398" s="148"/>
      <c r="N398" s="148"/>
      <c r="O398" s="148"/>
      <c r="P398" s="148"/>
      <c r="Q398" s="148"/>
      <c r="R398" s="148"/>
      <c r="S398" s="148"/>
      <c r="T398" s="148"/>
      <c r="U398" s="148"/>
      <c r="V398" s="148"/>
      <c r="W398" s="14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  <c r="BI398" s="148"/>
      <c r="BJ398" s="148"/>
      <c r="BK398" s="148"/>
      <c r="BL398" s="148"/>
    </row>
    <row r="399" spans="1:64" x14ac:dyDescent="0.2">
      <c r="A399" s="148"/>
      <c r="B399" s="148"/>
      <c r="C399" s="148"/>
      <c r="D399" s="148"/>
      <c r="E399" s="148"/>
      <c r="F399" s="148"/>
      <c r="G399" s="148"/>
      <c r="H399" s="148"/>
      <c r="I399" s="148"/>
      <c r="J399" s="148"/>
      <c r="K399" s="148"/>
      <c r="L399" s="148"/>
      <c r="M399" s="148"/>
      <c r="N399" s="148"/>
      <c r="O399" s="148"/>
      <c r="P399" s="148"/>
      <c r="Q399" s="148"/>
      <c r="R399" s="148"/>
      <c r="S399" s="148"/>
      <c r="T399" s="148"/>
      <c r="U399" s="148"/>
      <c r="V399" s="148"/>
      <c r="W399" s="14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  <c r="BI399" s="148"/>
      <c r="BJ399" s="148"/>
      <c r="BK399" s="148"/>
      <c r="BL399" s="148"/>
    </row>
    <row r="400" spans="1:64" x14ac:dyDescent="0.2">
      <c r="A400" s="148"/>
      <c r="B400" s="148"/>
      <c r="C400" s="148"/>
      <c r="D400" s="148"/>
      <c r="E400" s="148"/>
      <c r="F400" s="148"/>
      <c r="G400" s="148"/>
      <c r="H400" s="148"/>
      <c r="I400" s="148"/>
      <c r="J400" s="148"/>
      <c r="K400" s="148"/>
      <c r="L400" s="148"/>
      <c r="M400" s="148"/>
      <c r="N400" s="148"/>
      <c r="O400" s="148"/>
      <c r="P400" s="148"/>
      <c r="Q400" s="148"/>
      <c r="R400" s="148"/>
      <c r="S400" s="148"/>
      <c r="T400" s="148"/>
      <c r="U400" s="148"/>
      <c r="V400" s="148"/>
      <c r="W400" s="14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/>
      <c r="AH400" s="148"/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  <c r="BI400" s="148"/>
      <c r="BJ400" s="148"/>
      <c r="BK400" s="148"/>
      <c r="BL400" s="148"/>
    </row>
    <row r="401" spans="1:64" x14ac:dyDescent="0.2">
      <c r="A401" s="148"/>
      <c r="B401" s="148"/>
      <c r="C401" s="148"/>
      <c r="D401" s="148"/>
      <c r="E401" s="148"/>
      <c r="F401" s="148"/>
      <c r="G401" s="148"/>
      <c r="H401" s="148"/>
      <c r="I401" s="148"/>
      <c r="J401" s="148"/>
      <c r="K401" s="148"/>
      <c r="L401" s="148"/>
      <c r="M401" s="148"/>
      <c r="N401" s="148"/>
      <c r="O401" s="148"/>
      <c r="P401" s="148"/>
      <c r="Q401" s="148"/>
      <c r="R401" s="148"/>
      <c r="S401" s="148"/>
      <c r="T401" s="148"/>
      <c r="U401" s="148"/>
      <c r="V401" s="148"/>
      <c r="W401" s="14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  <c r="BI401" s="148"/>
      <c r="BJ401" s="148"/>
      <c r="BK401" s="148"/>
      <c r="BL401" s="148"/>
    </row>
    <row r="402" spans="1:64" x14ac:dyDescent="0.2">
      <c r="A402" s="148"/>
      <c r="B402" s="148"/>
      <c r="C402" s="148"/>
      <c r="D402" s="148"/>
      <c r="E402" s="148"/>
      <c r="F402" s="148"/>
      <c r="G402" s="148"/>
      <c r="H402" s="148"/>
      <c r="I402" s="148"/>
      <c r="J402" s="148"/>
      <c r="K402" s="148"/>
      <c r="L402" s="148"/>
      <c r="M402" s="148"/>
      <c r="N402" s="148"/>
      <c r="O402" s="148"/>
      <c r="P402" s="148"/>
      <c r="Q402" s="148"/>
      <c r="R402" s="148"/>
      <c r="S402" s="148"/>
      <c r="T402" s="148"/>
      <c r="U402" s="148"/>
      <c r="V402" s="148"/>
      <c r="W402" s="14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/>
      <c r="AH402" s="148"/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  <c r="BI402" s="148"/>
      <c r="BJ402" s="148"/>
      <c r="BK402" s="148"/>
      <c r="BL402" s="148"/>
    </row>
    <row r="403" spans="1:64" x14ac:dyDescent="0.2">
      <c r="A403" s="148"/>
      <c r="B403" s="148"/>
      <c r="C403" s="148"/>
      <c r="D403" s="148"/>
      <c r="E403" s="148"/>
      <c r="F403" s="148"/>
      <c r="G403" s="148"/>
      <c r="H403" s="148"/>
      <c r="I403" s="148"/>
      <c r="J403" s="148"/>
      <c r="K403" s="148"/>
      <c r="L403" s="148"/>
      <c r="M403" s="148"/>
      <c r="N403" s="148"/>
      <c r="O403" s="148"/>
      <c r="P403" s="148"/>
      <c r="Q403" s="148"/>
      <c r="R403" s="148"/>
      <c r="S403" s="148"/>
      <c r="T403" s="148"/>
      <c r="U403" s="148"/>
      <c r="V403" s="148"/>
      <c r="W403" s="14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/>
      <c r="AH403" s="148"/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  <c r="BI403" s="148"/>
      <c r="BJ403" s="148"/>
      <c r="BK403" s="148"/>
      <c r="BL403" s="148"/>
    </row>
    <row r="404" spans="1:64" x14ac:dyDescent="0.2">
      <c r="A404" s="148"/>
      <c r="B404" s="148"/>
      <c r="C404" s="148"/>
      <c r="D404" s="148"/>
      <c r="E404" s="148"/>
      <c r="F404" s="148"/>
      <c r="G404" s="148"/>
      <c r="H404" s="148"/>
      <c r="I404" s="148"/>
      <c r="J404" s="148"/>
      <c r="K404" s="148"/>
      <c r="L404" s="148"/>
      <c r="M404" s="148"/>
      <c r="N404" s="148"/>
      <c r="O404" s="148"/>
      <c r="P404" s="148"/>
      <c r="Q404" s="148"/>
      <c r="R404" s="148"/>
      <c r="S404" s="148"/>
      <c r="T404" s="148"/>
      <c r="U404" s="148"/>
      <c r="V404" s="148"/>
      <c r="W404" s="14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/>
      <c r="AH404" s="148"/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  <c r="BI404" s="148"/>
      <c r="BJ404" s="148"/>
      <c r="BK404" s="148"/>
      <c r="BL404" s="148"/>
    </row>
    <row r="405" spans="1:64" x14ac:dyDescent="0.2">
      <c r="A405" s="148"/>
      <c r="B405" s="148"/>
      <c r="C405" s="148"/>
      <c r="D405" s="148"/>
      <c r="E405" s="148"/>
      <c r="F405" s="148"/>
      <c r="G405" s="148"/>
      <c r="H405" s="148"/>
      <c r="I405" s="148"/>
      <c r="J405" s="148"/>
      <c r="K405" s="148"/>
      <c r="L405" s="148"/>
      <c r="M405" s="148"/>
      <c r="N405" s="148"/>
      <c r="O405" s="148"/>
      <c r="P405" s="148"/>
      <c r="Q405" s="148"/>
      <c r="R405" s="148"/>
      <c r="S405" s="148"/>
      <c r="T405" s="148"/>
      <c r="U405" s="148"/>
      <c r="V405" s="148"/>
      <c r="W405" s="14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/>
      <c r="AH405" s="148"/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  <c r="BI405" s="148"/>
      <c r="BJ405" s="148"/>
      <c r="BK405" s="148"/>
      <c r="BL405" s="148"/>
    </row>
    <row r="406" spans="1:64" x14ac:dyDescent="0.2">
      <c r="A406" s="148"/>
      <c r="B406" s="148"/>
      <c r="C406" s="148"/>
      <c r="D406" s="148"/>
      <c r="E406" s="148"/>
      <c r="F406" s="148"/>
      <c r="G406" s="148"/>
      <c r="H406" s="148"/>
      <c r="I406" s="148"/>
      <c r="J406" s="148"/>
      <c r="K406" s="148"/>
      <c r="L406" s="148"/>
      <c r="M406" s="148"/>
      <c r="N406" s="148"/>
      <c r="O406" s="148"/>
      <c r="P406" s="148"/>
      <c r="Q406" s="148"/>
      <c r="R406" s="148"/>
      <c r="S406" s="148"/>
      <c r="T406" s="148"/>
      <c r="U406" s="148"/>
      <c r="V406" s="148"/>
      <c r="W406" s="14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/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  <c r="BI406" s="148"/>
      <c r="BJ406" s="148"/>
      <c r="BK406" s="148"/>
      <c r="BL406" s="148"/>
    </row>
    <row r="407" spans="1:64" x14ac:dyDescent="0.2">
      <c r="A407" s="148"/>
      <c r="B407" s="148"/>
      <c r="C407" s="148"/>
      <c r="D407" s="148"/>
      <c r="E407" s="148"/>
      <c r="F407" s="148"/>
      <c r="G407" s="148"/>
      <c r="H407" s="148"/>
      <c r="I407" s="148"/>
      <c r="J407" s="148"/>
      <c r="K407" s="148"/>
      <c r="L407" s="148"/>
      <c r="M407" s="148"/>
      <c r="N407" s="148"/>
      <c r="O407" s="148"/>
      <c r="P407" s="148"/>
      <c r="Q407" s="148"/>
      <c r="R407" s="148"/>
      <c r="S407" s="148"/>
      <c r="T407" s="148"/>
      <c r="U407" s="148"/>
      <c r="V407" s="148"/>
      <c r="W407" s="14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  <c r="BI407" s="148"/>
      <c r="BJ407" s="148"/>
      <c r="BK407" s="148"/>
      <c r="BL407" s="148"/>
    </row>
    <row r="408" spans="1:64" x14ac:dyDescent="0.2">
      <c r="A408" s="148"/>
      <c r="B408" s="148"/>
      <c r="C408" s="148"/>
      <c r="D408" s="148"/>
      <c r="E408" s="148"/>
      <c r="F408" s="148"/>
      <c r="G408" s="148"/>
      <c r="H408" s="148"/>
      <c r="I408" s="148"/>
      <c r="J408" s="148"/>
      <c r="K408" s="148"/>
      <c r="L408" s="148"/>
      <c r="M408" s="148"/>
      <c r="N408" s="148"/>
      <c r="O408" s="148"/>
      <c r="P408" s="148"/>
      <c r="Q408" s="148"/>
      <c r="R408" s="148"/>
      <c r="S408" s="148"/>
      <c r="T408" s="148"/>
      <c r="U408" s="148"/>
      <c r="V408" s="148"/>
      <c r="W408" s="14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  <c r="BI408" s="148"/>
      <c r="BJ408" s="148"/>
      <c r="BK408" s="148"/>
      <c r="BL408" s="148"/>
    </row>
    <row r="409" spans="1:64" x14ac:dyDescent="0.2">
      <c r="A409" s="148"/>
      <c r="B409" s="148"/>
      <c r="C409" s="148"/>
      <c r="D409" s="148"/>
      <c r="E409" s="148"/>
      <c r="F409" s="148"/>
      <c r="G409" s="148"/>
      <c r="H409" s="148"/>
      <c r="I409" s="148"/>
      <c r="J409" s="148"/>
      <c r="K409" s="148"/>
      <c r="L409" s="148"/>
      <c r="M409" s="148"/>
      <c r="N409" s="148"/>
      <c r="O409" s="148"/>
      <c r="P409" s="148"/>
      <c r="Q409" s="148"/>
      <c r="R409" s="148"/>
      <c r="S409" s="148"/>
      <c r="T409" s="148"/>
      <c r="U409" s="148"/>
      <c r="V409" s="148"/>
      <c r="W409" s="14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  <c r="BI409" s="148"/>
      <c r="BJ409" s="148"/>
      <c r="BK409" s="148"/>
      <c r="BL409" s="148"/>
    </row>
    <row r="410" spans="1:64" x14ac:dyDescent="0.2">
      <c r="A410" s="148"/>
      <c r="B410" s="148"/>
      <c r="C410" s="148"/>
      <c r="D410" s="148"/>
      <c r="E410" s="148"/>
      <c r="F410" s="148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  <c r="BI410" s="148"/>
      <c r="BJ410" s="148"/>
      <c r="BK410" s="148"/>
      <c r="BL410" s="148"/>
    </row>
    <row r="411" spans="1:64" x14ac:dyDescent="0.2">
      <c r="A411" s="148"/>
      <c r="B411" s="148"/>
      <c r="C411" s="148"/>
      <c r="D411" s="148"/>
      <c r="E411" s="148"/>
      <c r="F411" s="148"/>
      <c r="G411" s="148"/>
      <c r="H411" s="148"/>
      <c r="I411" s="148"/>
      <c r="J411" s="148"/>
      <c r="K411" s="148"/>
      <c r="L411" s="148"/>
      <c r="M411" s="148"/>
      <c r="N411" s="148"/>
      <c r="O411" s="148"/>
      <c r="P411" s="148"/>
      <c r="Q411" s="148"/>
      <c r="R411" s="148"/>
      <c r="S411" s="148"/>
      <c r="T411" s="148"/>
      <c r="U411" s="148"/>
      <c r="V411" s="148"/>
      <c r="W411" s="14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  <c r="BI411" s="148"/>
      <c r="BJ411" s="148"/>
      <c r="BK411" s="148"/>
      <c r="BL411" s="148"/>
    </row>
    <row r="412" spans="1:64" x14ac:dyDescent="0.2">
      <c r="A412" s="148"/>
      <c r="B412" s="148"/>
      <c r="C412" s="148"/>
      <c r="D412" s="148"/>
      <c r="E412" s="148"/>
      <c r="F412" s="148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48"/>
      <c r="S412" s="148"/>
      <c r="T412" s="148"/>
      <c r="U412" s="148"/>
      <c r="V412" s="148"/>
      <c r="W412" s="14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  <c r="BI412" s="148"/>
      <c r="BJ412" s="148"/>
      <c r="BK412" s="148"/>
      <c r="BL412" s="148"/>
    </row>
    <row r="413" spans="1:64" x14ac:dyDescent="0.2">
      <c r="A413" s="148"/>
      <c r="B413" s="148"/>
      <c r="C413" s="148"/>
      <c r="D413" s="148"/>
      <c r="E413" s="148"/>
      <c r="F413" s="148"/>
      <c r="G413" s="148"/>
      <c r="H413" s="148"/>
      <c r="I413" s="148"/>
      <c r="J413" s="148"/>
      <c r="K413" s="148"/>
      <c r="L413" s="148"/>
      <c r="M413" s="148"/>
      <c r="N413" s="148"/>
      <c r="O413" s="148"/>
      <c r="P413" s="148"/>
      <c r="Q413" s="148"/>
      <c r="R413" s="148"/>
      <c r="S413" s="148"/>
      <c r="T413" s="148"/>
      <c r="U413" s="148"/>
      <c r="V413" s="148"/>
      <c r="W413" s="14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  <c r="BI413" s="148"/>
      <c r="BJ413" s="148"/>
      <c r="BK413" s="148"/>
      <c r="BL413" s="148"/>
    </row>
    <row r="414" spans="1:64" x14ac:dyDescent="0.2">
      <c r="A414" s="148"/>
      <c r="B414" s="148"/>
      <c r="C414" s="148"/>
      <c r="D414" s="148"/>
      <c r="E414" s="148"/>
      <c r="F414" s="148"/>
      <c r="G414" s="148"/>
      <c r="H414" s="148"/>
      <c r="I414" s="148"/>
      <c r="J414" s="148"/>
      <c r="K414" s="148"/>
      <c r="L414" s="148"/>
      <c r="M414" s="148"/>
      <c r="N414" s="148"/>
      <c r="O414" s="148"/>
      <c r="P414" s="148"/>
      <c r="Q414" s="148"/>
      <c r="R414" s="148"/>
      <c r="S414" s="148"/>
      <c r="T414" s="148"/>
      <c r="U414" s="148"/>
      <c r="V414" s="148"/>
      <c r="W414" s="14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  <c r="BI414" s="148"/>
      <c r="BJ414" s="148"/>
      <c r="BK414" s="148"/>
      <c r="BL414" s="148"/>
    </row>
    <row r="415" spans="1:64" x14ac:dyDescent="0.2">
      <c r="A415" s="148"/>
      <c r="B415" s="148"/>
      <c r="C415" s="148"/>
      <c r="D415" s="148"/>
      <c r="E415" s="148"/>
      <c r="F415" s="148"/>
      <c r="G415" s="148"/>
      <c r="H415" s="148"/>
      <c r="I415" s="148"/>
      <c r="J415" s="148"/>
      <c r="K415" s="148"/>
      <c r="L415" s="148"/>
      <c r="M415" s="148"/>
      <c r="N415" s="148"/>
      <c r="O415" s="148"/>
      <c r="P415" s="148"/>
      <c r="Q415" s="148"/>
      <c r="R415" s="148"/>
      <c r="S415" s="148"/>
      <c r="T415" s="148"/>
      <c r="U415" s="148"/>
      <c r="V415" s="148"/>
      <c r="W415" s="14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/>
      <c r="AH415" s="148"/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  <c r="BI415" s="148"/>
      <c r="BJ415" s="148"/>
      <c r="BK415" s="148"/>
      <c r="BL415" s="148"/>
    </row>
    <row r="416" spans="1:64" x14ac:dyDescent="0.2">
      <c r="A416" s="148"/>
      <c r="B416" s="148"/>
      <c r="C416" s="148"/>
      <c r="D416" s="148"/>
      <c r="E416" s="148"/>
      <c r="F416" s="148"/>
      <c r="G416" s="148"/>
      <c r="H416" s="148"/>
      <c r="I416" s="148"/>
      <c r="J416" s="148"/>
      <c r="K416" s="148"/>
      <c r="L416" s="148"/>
      <c r="M416" s="148"/>
      <c r="N416" s="148"/>
      <c r="O416" s="148"/>
      <c r="P416" s="148"/>
      <c r="Q416" s="148"/>
      <c r="R416" s="148"/>
      <c r="S416" s="148"/>
      <c r="T416" s="148"/>
      <c r="U416" s="148"/>
      <c r="V416" s="148"/>
      <c r="W416" s="14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  <c r="BI416" s="148"/>
      <c r="BJ416" s="148"/>
      <c r="BK416" s="148"/>
      <c r="BL416" s="148"/>
    </row>
    <row r="417" spans="1:64" x14ac:dyDescent="0.2">
      <c r="A417" s="148"/>
      <c r="B417" s="148"/>
      <c r="C417" s="148"/>
      <c r="D417" s="148"/>
      <c r="E417" s="148"/>
      <c r="F417" s="148"/>
      <c r="G417" s="148"/>
      <c r="H417" s="148"/>
      <c r="I417" s="148"/>
      <c r="J417" s="148"/>
      <c r="K417" s="148"/>
      <c r="L417" s="148"/>
      <c r="M417" s="148"/>
      <c r="N417" s="148"/>
      <c r="O417" s="148"/>
      <c r="P417" s="148"/>
      <c r="Q417" s="148"/>
      <c r="R417" s="148"/>
      <c r="S417" s="148"/>
      <c r="T417" s="148"/>
      <c r="U417" s="148"/>
      <c r="V417" s="148"/>
      <c r="W417" s="14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/>
      <c r="AH417" s="148"/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  <c r="BI417" s="148"/>
      <c r="BJ417" s="148"/>
      <c r="BK417" s="148"/>
      <c r="BL417" s="148"/>
    </row>
    <row r="418" spans="1:64" x14ac:dyDescent="0.2">
      <c r="A418" s="148"/>
      <c r="B418" s="148"/>
      <c r="C418" s="148"/>
      <c r="D418" s="148"/>
      <c r="E418" s="148"/>
      <c r="F418" s="148"/>
      <c r="G418" s="148"/>
      <c r="H418" s="148"/>
      <c r="I418" s="148"/>
      <c r="J418" s="148"/>
      <c r="K418" s="148"/>
      <c r="L418" s="148"/>
      <c r="M418" s="148"/>
      <c r="N418" s="148"/>
      <c r="O418" s="148"/>
      <c r="P418" s="148"/>
      <c r="Q418" s="148"/>
      <c r="R418" s="148"/>
      <c r="S418" s="148"/>
      <c r="T418" s="148"/>
      <c r="U418" s="148"/>
      <c r="V418" s="148"/>
      <c r="W418" s="14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/>
      <c r="AH418" s="148"/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  <c r="BI418" s="148"/>
      <c r="BJ418" s="148"/>
      <c r="BK418" s="148"/>
      <c r="BL418" s="148"/>
    </row>
    <row r="419" spans="1:64" x14ac:dyDescent="0.2">
      <c r="A419" s="148"/>
      <c r="B419" s="148"/>
      <c r="C419" s="148"/>
      <c r="D419" s="148"/>
      <c r="E419" s="148"/>
      <c r="F419" s="148"/>
      <c r="G419" s="148"/>
      <c r="H419" s="148"/>
      <c r="I419" s="148"/>
      <c r="J419" s="148"/>
      <c r="K419" s="148"/>
      <c r="L419" s="148"/>
      <c r="M419" s="148"/>
      <c r="N419" s="148"/>
      <c r="O419" s="148"/>
      <c r="P419" s="148"/>
      <c r="Q419" s="148"/>
      <c r="R419" s="148"/>
      <c r="S419" s="148"/>
      <c r="T419" s="148"/>
      <c r="U419" s="148"/>
      <c r="V419" s="148"/>
      <c r="W419" s="14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/>
      <c r="AH419" s="148"/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  <c r="BI419" s="148"/>
      <c r="BJ419" s="148"/>
      <c r="BK419" s="148"/>
      <c r="BL419" s="148"/>
    </row>
    <row r="420" spans="1:64" x14ac:dyDescent="0.2">
      <c r="A420" s="148"/>
      <c r="B420" s="148"/>
      <c r="C420" s="148"/>
      <c r="D420" s="148"/>
      <c r="E420" s="148"/>
      <c r="F420" s="148"/>
      <c r="G420" s="148"/>
      <c r="H420" s="148"/>
      <c r="I420" s="148"/>
      <c r="J420" s="148"/>
      <c r="K420" s="148"/>
      <c r="L420" s="148"/>
      <c r="M420" s="148"/>
      <c r="N420" s="148"/>
      <c r="O420" s="148"/>
      <c r="P420" s="148"/>
      <c r="Q420" s="148"/>
      <c r="R420" s="148"/>
      <c r="S420" s="148"/>
      <c r="T420" s="148"/>
      <c r="U420" s="148"/>
      <c r="V420" s="148"/>
      <c r="W420" s="14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/>
      <c r="AH420" s="148"/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  <c r="BI420" s="148"/>
      <c r="BJ420" s="148"/>
      <c r="BK420" s="148"/>
      <c r="BL420" s="148"/>
    </row>
    <row r="421" spans="1:64" x14ac:dyDescent="0.2">
      <c r="A421" s="148"/>
      <c r="B421" s="148"/>
      <c r="C421" s="148"/>
      <c r="D421" s="148"/>
      <c r="E421" s="148"/>
      <c r="F421" s="148"/>
      <c r="G421" s="148"/>
      <c r="H421" s="148"/>
      <c r="I421" s="148"/>
      <c r="J421" s="148"/>
      <c r="K421" s="148"/>
      <c r="L421" s="148"/>
      <c r="M421" s="148"/>
      <c r="N421" s="148"/>
      <c r="O421" s="148"/>
      <c r="P421" s="148"/>
      <c r="Q421" s="148"/>
      <c r="R421" s="148"/>
      <c r="S421" s="148"/>
      <c r="T421" s="148"/>
      <c r="U421" s="148"/>
      <c r="V421" s="148"/>
      <c r="W421" s="148"/>
      <c r="X421" s="148"/>
      <c r="Y421" s="148"/>
      <c r="Z421" s="148"/>
      <c r="AA421" s="148"/>
      <c r="AB421" s="148"/>
      <c r="AC421" s="148"/>
      <c r="AD421" s="148"/>
      <c r="AE421" s="148"/>
      <c r="AF421" s="148"/>
      <c r="AG421" s="148"/>
      <c r="AH421" s="148"/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  <c r="BI421" s="148"/>
      <c r="BJ421" s="148"/>
      <c r="BK421" s="148"/>
      <c r="BL421" s="148"/>
    </row>
    <row r="422" spans="1:64" x14ac:dyDescent="0.2">
      <c r="A422" s="148"/>
      <c r="B422" s="148"/>
      <c r="C422" s="148"/>
      <c r="D422" s="148"/>
      <c r="E422" s="148"/>
      <c r="F422" s="148"/>
      <c r="G422" s="148"/>
      <c r="H422" s="148"/>
      <c r="I422" s="148"/>
      <c r="J422" s="148"/>
      <c r="K422" s="148"/>
      <c r="L422" s="148"/>
      <c r="M422" s="148"/>
      <c r="N422" s="148"/>
      <c r="O422" s="148"/>
      <c r="P422" s="148"/>
      <c r="Q422" s="148"/>
      <c r="R422" s="148"/>
      <c r="S422" s="148"/>
      <c r="T422" s="148"/>
      <c r="U422" s="148"/>
      <c r="V422" s="148"/>
      <c r="W422" s="14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/>
      <c r="AH422" s="148"/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  <c r="BI422" s="148"/>
      <c r="BJ422" s="148"/>
      <c r="BK422" s="148"/>
      <c r="BL422" s="148"/>
    </row>
    <row r="423" spans="1:64" x14ac:dyDescent="0.2">
      <c r="A423" s="148"/>
      <c r="B423" s="148"/>
      <c r="C423" s="148"/>
      <c r="D423" s="148"/>
      <c r="E423" s="148"/>
      <c r="F423" s="148"/>
      <c r="G423" s="148"/>
      <c r="H423" s="148"/>
      <c r="I423" s="148"/>
      <c r="J423" s="148"/>
      <c r="K423" s="148"/>
      <c r="L423" s="148"/>
      <c r="M423" s="148"/>
      <c r="N423" s="148"/>
      <c r="O423" s="148"/>
      <c r="P423" s="148"/>
      <c r="Q423" s="148"/>
      <c r="R423" s="148"/>
      <c r="S423" s="148"/>
      <c r="T423" s="148"/>
      <c r="U423" s="148"/>
      <c r="V423" s="148"/>
      <c r="W423" s="148"/>
      <c r="X423" s="148"/>
      <c r="Y423" s="148"/>
      <c r="Z423" s="148"/>
      <c r="AA423" s="148"/>
      <c r="AB423" s="148"/>
      <c r="AC423" s="148"/>
      <c r="AD423" s="148"/>
      <c r="AE423" s="148"/>
      <c r="AF423" s="148"/>
      <c r="AG423" s="148"/>
      <c r="AH423" s="148"/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  <c r="BI423" s="148"/>
      <c r="BJ423" s="148"/>
      <c r="BK423" s="148"/>
      <c r="BL423" s="148"/>
    </row>
    <row r="424" spans="1:64" x14ac:dyDescent="0.2">
      <c r="A424" s="148"/>
      <c r="B424" s="148"/>
      <c r="C424" s="148"/>
      <c r="D424" s="148"/>
      <c r="E424" s="148"/>
      <c r="F424" s="148"/>
      <c r="G424" s="148"/>
      <c r="H424" s="148"/>
      <c r="I424" s="148"/>
      <c r="J424" s="148"/>
      <c r="K424" s="148"/>
      <c r="L424" s="148"/>
      <c r="M424" s="148"/>
      <c r="N424" s="148"/>
      <c r="O424" s="148"/>
      <c r="P424" s="148"/>
      <c r="Q424" s="148"/>
      <c r="R424" s="148"/>
      <c r="S424" s="148"/>
      <c r="T424" s="148"/>
      <c r="U424" s="148"/>
      <c r="V424" s="148"/>
      <c r="W424" s="148"/>
      <c r="X424" s="148"/>
      <c r="Y424" s="148"/>
      <c r="Z424" s="148"/>
      <c r="AA424" s="148"/>
      <c r="AB424" s="148"/>
      <c r="AC424" s="148"/>
      <c r="AD424" s="148"/>
      <c r="AE424" s="148"/>
      <c r="AF424" s="148"/>
      <c r="AG424" s="148"/>
      <c r="AH424" s="148"/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  <c r="BI424" s="148"/>
      <c r="BJ424" s="148"/>
      <c r="BK424" s="148"/>
      <c r="BL424" s="148"/>
    </row>
    <row r="425" spans="1:64" x14ac:dyDescent="0.2">
      <c r="A425" s="148"/>
      <c r="B425" s="148"/>
      <c r="C425" s="148"/>
      <c r="D425" s="148"/>
      <c r="E425" s="148"/>
      <c r="F425" s="148"/>
      <c r="G425" s="148"/>
      <c r="H425" s="148"/>
      <c r="I425" s="148"/>
      <c r="J425" s="148"/>
      <c r="K425" s="148"/>
      <c r="L425" s="148"/>
      <c r="M425" s="148"/>
      <c r="N425" s="148"/>
      <c r="O425" s="148"/>
      <c r="P425" s="148"/>
      <c r="Q425" s="148"/>
      <c r="R425" s="148"/>
      <c r="S425" s="148"/>
      <c r="T425" s="148"/>
      <c r="U425" s="148"/>
      <c r="V425" s="148"/>
      <c r="W425" s="14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/>
      <c r="AH425" s="148"/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  <c r="BI425" s="148"/>
      <c r="BJ425" s="148"/>
      <c r="BK425" s="148"/>
      <c r="BL425" s="148"/>
    </row>
    <row r="426" spans="1:64" x14ac:dyDescent="0.2">
      <c r="A426" s="148"/>
      <c r="B426" s="148"/>
      <c r="C426" s="148"/>
      <c r="D426" s="148"/>
      <c r="E426" s="148"/>
      <c r="F426" s="148"/>
      <c r="G426" s="148"/>
      <c r="H426" s="148"/>
      <c r="I426" s="148"/>
      <c r="J426" s="148"/>
      <c r="K426" s="148"/>
      <c r="L426" s="148"/>
      <c r="M426" s="148"/>
      <c r="N426" s="148"/>
      <c r="O426" s="148"/>
      <c r="P426" s="148"/>
      <c r="Q426" s="148"/>
      <c r="R426" s="148"/>
      <c r="S426" s="148"/>
      <c r="T426" s="148"/>
      <c r="U426" s="148"/>
      <c r="V426" s="148"/>
      <c r="W426" s="14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/>
      <c r="BJ426" s="148"/>
      <c r="BK426" s="148"/>
      <c r="BL426" s="148"/>
    </row>
    <row r="427" spans="1:64" x14ac:dyDescent="0.2">
      <c r="A427" s="148"/>
      <c r="B427" s="148"/>
      <c r="C427" s="148"/>
      <c r="D427" s="148"/>
      <c r="E427" s="148"/>
      <c r="F427" s="148"/>
      <c r="G427" s="148"/>
      <c r="H427" s="148"/>
      <c r="I427" s="148"/>
      <c r="J427" s="148"/>
      <c r="K427" s="148"/>
      <c r="L427" s="148"/>
      <c r="M427" s="148"/>
      <c r="N427" s="148"/>
      <c r="O427" s="148"/>
      <c r="P427" s="148"/>
      <c r="Q427" s="148"/>
      <c r="R427" s="148"/>
      <c r="S427" s="148"/>
      <c r="T427" s="148"/>
      <c r="U427" s="148"/>
      <c r="V427" s="148"/>
      <c r="W427" s="14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</row>
    <row r="428" spans="1:64" x14ac:dyDescent="0.2">
      <c r="A428" s="148"/>
      <c r="B428" s="148"/>
      <c r="C428" s="148"/>
      <c r="D428" s="148"/>
      <c r="E428" s="148"/>
      <c r="F428" s="148"/>
      <c r="G428" s="148"/>
      <c r="H428" s="148"/>
      <c r="I428" s="148"/>
      <c r="J428" s="148"/>
      <c r="K428" s="148"/>
      <c r="L428" s="148"/>
      <c r="M428" s="148"/>
      <c r="N428" s="148"/>
      <c r="O428" s="148"/>
      <c r="P428" s="148"/>
      <c r="Q428" s="148"/>
      <c r="R428" s="148"/>
      <c r="S428" s="148"/>
      <c r="T428" s="148"/>
      <c r="U428" s="148"/>
      <c r="V428" s="148"/>
      <c r="W428" s="14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</row>
    <row r="429" spans="1:64" x14ac:dyDescent="0.2">
      <c r="A429" s="148"/>
      <c r="B429" s="148"/>
      <c r="C429" s="148"/>
      <c r="D429" s="148"/>
      <c r="E429" s="148"/>
      <c r="F429" s="148"/>
      <c r="G429" s="148"/>
      <c r="H429" s="148"/>
      <c r="I429" s="148"/>
      <c r="J429" s="148"/>
      <c r="K429" s="148"/>
      <c r="L429" s="148"/>
      <c r="M429" s="148"/>
      <c r="N429" s="148"/>
      <c r="O429" s="148"/>
      <c r="P429" s="148"/>
      <c r="Q429" s="148"/>
      <c r="R429" s="148"/>
      <c r="S429" s="148"/>
      <c r="T429" s="148"/>
      <c r="U429" s="148"/>
      <c r="V429" s="148"/>
      <c r="W429" s="14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</row>
    <row r="430" spans="1:64" x14ac:dyDescent="0.2">
      <c r="A430" s="148"/>
      <c r="B430" s="148"/>
      <c r="C430" s="148"/>
      <c r="D430" s="148"/>
      <c r="E430" s="148"/>
      <c r="F430" s="148"/>
      <c r="G430" s="148"/>
      <c r="H430" s="148"/>
      <c r="I430" s="148"/>
      <c r="J430" s="148"/>
      <c r="K430" s="148"/>
      <c r="L430" s="148"/>
      <c r="M430" s="148"/>
      <c r="N430" s="148"/>
      <c r="O430" s="148"/>
      <c r="P430" s="148"/>
      <c r="Q430" s="148"/>
      <c r="R430" s="148"/>
      <c r="S430" s="148"/>
      <c r="T430" s="148"/>
      <c r="U430" s="148"/>
      <c r="V430" s="148"/>
      <c r="W430" s="14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</row>
    <row r="431" spans="1:64" x14ac:dyDescent="0.2">
      <c r="A431" s="148"/>
      <c r="B431" s="148"/>
      <c r="C431" s="148"/>
      <c r="D431" s="148"/>
      <c r="E431" s="148"/>
      <c r="F431" s="148"/>
      <c r="G431" s="148"/>
      <c r="H431" s="148"/>
      <c r="I431" s="148"/>
      <c r="J431" s="148"/>
      <c r="K431" s="148"/>
      <c r="L431" s="148"/>
      <c r="M431" s="148"/>
      <c r="N431" s="148"/>
      <c r="O431" s="148"/>
      <c r="P431" s="148"/>
      <c r="Q431" s="148"/>
      <c r="R431" s="148"/>
      <c r="S431" s="148"/>
      <c r="T431" s="148"/>
      <c r="U431" s="148"/>
      <c r="V431" s="148"/>
      <c r="W431" s="14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</row>
    <row r="432" spans="1:64" x14ac:dyDescent="0.2">
      <c r="A432" s="148"/>
      <c r="B432" s="148"/>
      <c r="C432" s="148"/>
      <c r="D432" s="148"/>
      <c r="E432" s="148"/>
      <c r="F432" s="148"/>
      <c r="G432" s="148"/>
      <c r="H432" s="148"/>
      <c r="I432" s="148"/>
      <c r="J432" s="148"/>
      <c r="K432" s="148"/>
      <c r="L432" s="148"/>
      <c r="M432" s="148"/>
      <c r="N432" s="148"/>
      <c r="O432" s="148"/>
      <c r="P432" s="148"/>
      <c r="Q432" s="148"/>
      <c r="R432" s="148"/>
      <c r="S432" s="148"/>
      <c r="T432" s="148"/>
      <c r="U432" s="148"/>
      <c r="V432" s="148"/>
      <c r="W432" s="14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  <c r="BI432" s="148"/>
      <c r="BJ432" s="148"/>
      <c r="BK432" s="148"/>
      <c r="BL432" s="148"/>
    </row>
    <row r="433" spans="1:64" x14ac:dyDescent="0.2">
      <c r="A433" s="148"/>
      <c r="B433" s="148"/>
      <c r="C433" s="148"/>
      <c r="D433" s="148"/>
      <c r="E433" s="148"/>
      <c r="F433" s="148"/>
      <c r="G433" s="148"/>
      <c r="H433" s="148"/>
      <c r="I433" s="148"/>
      <c r="J433" s="148"/>
      <c r="K433" s="148"/>
      <c r="L433" s="148"/>
      <c r="M433" s="148"/>
      <c r="N433" s="148"/>
      <c r="O433" s="148"/>
      <c r="P433" s="148"/>
      <c r="Q433" s="148"/>
      <c r="R433" s="148"/>
      <c r="S433" s="148"/>
      <c r="T433" s="148"/>
      <c r="U433" s="148"/>
      <c r="V433" s="148"/>
      <c r="W433" s="14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  <c r="BI433" s="148"/>
      <c r="BJ433" s="148"/>
      <c r="BK433" s="148"/>
      <c r="BL433" s="148"/>
    </row>
    <row r="434" spans="1:64" x14ac:dyDescent="0.2">
      <c r="A434" s="148"/>
      <c r="B434" s="148"/>
      <c r="C434" s="148"/>
      <c r="D434" s="148"/>
      <c r="E434" s="148"/>
      <c r="F434" s="148"/>
      <c r="G434" s="148"/>
      <c r="H434" s="148"/>
      <c r="I434" s="148"/>
      <c r="J434" s="148"/>
      <c r="K434" s="148"/>
      <c r="L434" s="148"/>
      <c r="M434" s="148"/>
      <c r="N434" s="148"/>
      <c r="O434" s="148"/>
      <c r="P434" s="148"/>
      <c r="Q434" s="148"/>
      <c r="R434" s="148"/>
      <c r="S434" s="148"/>
      <c r="T434" s="148"/>
      <c r="U434" s="148"/>
      <c r="V434" s="148"/>
      <c r="W434" s="14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</row>
    <row r="435" spans="1:64" x14ac:dyDescent="0.2">
      <c r="A435" s="148"/>
      <c r="B435" s="148"/>
      <c r="C435" s="148"/>
      <c r="D435" s="148"/>
      <c r="E435" s="148"/>
      <c r="F435" s="148"/>
      <c r="G435" s="148"/>
      <c r="H435" s="148"/>
      <c r="I435" s="148"/>
      <c r="J435" s="148"/>
      <c r="K435" s="148"/>
      <c r="L435" s="148"/>
      <c r="M435" s="148"/>
      <c r="N435" s="148"/>
      <c r="O435" s="148"/>
      <c r="P435" s="148"/>
      <c r="Q435" s="148"/>
      <c r="R435" s="148"/>
      <c r="S435" s="148"/>
      <c r="T435" s="148"/>
      <c r="U435" s="148"/>
      <c r="V435" s="148"/>
      <c r="W435" s="14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  <c r="BI435" s="148"/>
      <c r="BJ435" s="148"/>
      <c r="BK435" s="148"/>
      <c r="BL435" s="148"/>
    </row>
    <row r="436" spans="1:64" x14ac:dyDescent="0.2">
      <c r="A436" s="148"/>
      <c r="B436" s="148"/>
      <c r="C436" s="148"/>
      <c r="D436" s="148"/>
      <c r="E436" s="148"/>
      <c r="F436" s="148"/>
      <c r="G436" s="148"/>
      <c r="H436" s="148"/>
      <c r="I436" s="148"/>
      <c r="J436" s="148"/>
      <c r="K436" s="148"/>
      <c r="L436" s="148"/>
      <c r="M436" s="148"/>
      <c r="N436" s="148"/>
      <c r="O436" s="148"/>
      <c r="P436" s="148"/>
      <c r="Q436" s="148"/>
      <c r="R436" s="148"/>
      <c r="S436" s="148"/>
      <c r="T436" s="148"/>
      <c r="U436" s="148"/>
      <c r="V436" s="148"/>
      <c r="W436" s="14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  <c r="BI436" s="148"/>
      <c r="BJ436" s="148"/>
      <c r="BK436" s="148"/>
      <c r="BL436" s="148"/>
    </row>
    <row r="437" spans="1:64" x14ac:dyDescent="0.2">
      <c r="A437" s="148"/>
      <c r="B437" s="148"/>
      <c r="C437" s="148"/>
      <c r="D437" s="148"/>
      <c r="E437" s="148"/>
      <c r="F437" s="148"/>
      <c r="G437" s="148"/>
      <c r="H437" s="148"/>
      <c r="I437" s="148"/>
      <c r="J437" s="148"/>
      <c r="K437" s="148"/>
      <c r="L437" s="148"/>
      <c r="M437" s="148"/>
      <c r="N437" s="148"/>
      <c r="O437" s="148"/>
      <c r="P437" s="148"/>
      <c r="Q437" s="148"/>
      <c r="R437" s="148"/>
      <c r="S437" s="148"/>
      <c r="T437" s="148"/>
      <c r="U437" s="148"/>
      <c r="V437" s="148"/>
      <c r="W437" s="148"/>
      <c r="X437" s="148"/>
      <c r="Y437" s="148"/>
      <c r="Z437" s="148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/>
      <c r="BJ437" s="148"/>
      <c r="BK437" s="148"/>
      <c r="BL437" s="148"/>
    </row>
    <row r="438" spans="1:64" x14ac:dyDescent="0.2">
      <c r="A438" s="148"/>
      <c r="B438" s="148"/>
      <c r="C438" s="148"/>
      <c r="D438" s="148"/>
      <c r="E438" s="148"/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48"/>
      <c r="Q438" s="148"/>
      <c r="R438" s="148"/>
      <c r="S438" s="148"/>
      <c r="T438" s="148"/>
      <c r="U438" s="148"/>
      <c r="V438" s="148"/>
      <c r="W438" s="14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</row>
    <row r="439" spans="1:64" x14ac:dyDescent="0.2">
      <c r="A439" s="148"/>
      <c r="B439" s="148"/>
      <c r="C439" s="148"/>
      <c r="D439" s="148"/>
      <c r="E439" s="148"/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48"/>
      <c r="Q439" s="148"/>
      <c r="R439" s="148"/>
      <c r="S439" s="148"/>
      <c r="T439" s="148"/>
      <c r="U439" s="148"/>
      <c r="V439" s="148"/>
      <c r="W439" s="14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  <c r="BI439" s="148"/>
      <c r="BJ439" s="148"/>
      <c r="BK439" s="148"/>
      <c r="BL439" s="148"/>
    </row>
    <row r="440" spans="1:64" x14ac:dyDescent="0.2">
      <c r="A440" s="148"/>
      <c r="B440" s="148"/>
      <c r="C440" s="148"/>
      <c r="D440" s="148"/>
      <c r="E440" s="148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148"/>
      <c r="R440" s="148"/>
      <c r="S440" s="148"/>
      <c r="T440" s="148"/>
      <c r="U440" s="148"/>
      <c r="V440" s="148"/>
      <c r="W440" s="14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/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  <c r="BI440" s="148"/>
      <c r="BJ440" s="148"/>
      <c r="BK440" s="148"/>
      <c r="BL440" s="148"/>
    </row>
    <row r="441" spans="1:64" x14ac:dyDescent="0.2">
      <c r="A441" s="148"/>
      <c r="B441" s="148"/>
      <c r="C441" s="148"/>
      <c r="D441" s="148"/>
      <c r="E441" s="148"/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148"/>
      <c r="R441" s="148"/>
      <c r="S441" s="148"/>
      <c r="T441" s="148"/>
      <c r="U441" s="148"/>
      <c r="V441" s="148"/>
      <c r="W441" s="14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/>
      <c r="AH441" s="148"/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  <c r="BI441" s="148"/>
      <c r="BJ441" s="148"/>
      <c r="BK441" s="148"/>
      <c r="BL441" s="148"/>
    </row>
    <row r="442" spans="1:64" x14ac:dyDescent="0.2">
      <c r="A442" s="148"/>
      <c r="B442" s="148"/>
      <c r="C442" s="148"/>
      <c r="D442" s="148"/>
      <c r="E442" s="148"/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48"/>
      <c r="R442" s="148"/>
      <c r="S442" s="148"/>
      <c r="T442" s="148"/>
      <c r="U442" s="148"/>
      <c r="V442" s="148"/>
      <c r="W442" s="14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/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  <c r="BI442" s="148"/>
      <c r="BJ442" s="148"/>
      <c r="BK442" s="148"/>
      <c r="BL442" s="148"/>
    </row>
    <row r="443" spans="1:64" x14ac:dyDescent="0.2">
      <c r="A443" s="148"/>
      <c r="B443" s="148"/>
      <c r="C443" s="148"/>
      <c r="D443" s="148"/>
      <c r="E443" s="148"/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  <c r="Q443" s="148"/>
      <c r="R443" s="148"/>
      <c r="S443" s="148"/>
      <c r="T443" s="148"/>
      <c r="U443" s="148"/>
      <c r="V443" s="148"/>
      <c r="W443" s="14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/>
      <c r="AH443" s="148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  <c r="BI443" s="148"/>
      <c r="BJ443" s="148"/>
      <c r="BK443" s="148"/>
      <c r="BL443" s="148"/>
    </row>
    <row r="444" spans="1:64" x14ac:dyDescent="0.2">
      <c r="A444" s="148"/>
      <c r="B444" s="148"/>
      <c r="C444" s="148"/>
      <c r="D444" s="148"/>
      <c r="E444" s="148"/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48"/>
      <c r="Q444" s="148"/>
      <c r="R444" s="148"/>
      <c r="S444" s="148"/>
      <c r="T444" s="148"/>
      <c r="U444" s="148"/>
      <c r="V444" s="148"/>
      <c r="W444" s="14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/>
      <c r="AH444" s="148"/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  <c r="BI444" s="148"/>
      <c r="BJ444" s="148"/>
      <c r="BK444" s="148"/>
      <c r="BL444" s="148"/>
    </row>
    <row r="445" spans="1:64" x14ac:dyDescent="0.2">
      <c r="A445" s="148"/>
      <c r="B445" s="148"/>
      <c r="C445" s="148"/>
      <c r="D445" s="148"/>
      <c r="E445" s="148"/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48"/>
      <c r="R445" s="148"/>
      <c r="S445" s="148"/>
      <c r="T445" s="148"/>
      <c r="U445" s="148"/>
      <c r="V445" s="148"/>
      <c r="W445" s="14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  <c r="BI445" s="148"/>
      <c r="BJ445" s="148"/>
      <c r="BK445" s="148"/>
      <c r="BL445" s="148"/>
    </row>
    <row r="446" spans="1:64" x14ac:dyDescent="0.2">
      <c r="A446" s="148"/>
      <c r="B446" s="148"/>
      <c r="C446" s="148"/>
      <c r="D446" s="148"/>
      <c r="E446" s="148"/>
      <c r="F446" s="148"/>
      <c r="G446" s="148"/>
      <c r="H446" s="148"/>
      <c r="I446" s="148"/>
      <c r="J446" s="148"/>
      <c r="K446" s="148"/>
      <c r="L446" s="148"/>
      <c r="M446" s="148"/>
      <c r="N446" s="148"/>
      <c r="O446" s="148"/>
      <c r="P446" s="148"/>
      <c r="Q446" s="148"/>
      <c r="R446" s="148"/>
      <c r="S446" s="148"/>
      <c r="T446" s="148"/>
      <c r="U446" s="148"/>
      <c r="V446" s="148"/>
      <c r="W446" s="14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  <c r="BI446" s="148"/>
      <c r="BJ446" s="148"/>
      <c r="BK446" s="148"/>
      <c r="BL446" s="148"/>
    </row>
    <row r="447" spans="1:64" x14ac:dyDescent="0.2">
      <c r="A447" s="148"/>
      <c r="B447" s="148"/>
      <c r="C447" s="148"/>
      <c r="D447" s="148"/>
      <c r="E447" s="148"/>
      <c r="F447" s="148"/>
      <c r="G447" s="148"/>
      <c r="H447" s="148"/>
      <c r="I447" s="148"/>
      <c r="J447" s="148"/>
      <c r="K447" s="148"/>
      <c r="L447" s="148"/>
      <c r="M447" s="148"/>
      <c r="N447" s="148"/>
      <c r="O447" s="148"/>
      <c r="P447" s="148"/>
      <c r="Q447" s="148"/>
      <c r="R447" s="148"/>
      <c r="S447" s="148"/>
      <c r="T447" s="148"/>
      <c r="U447" s="148"/>
      <c r="V447" s="148"/>
      <c r="W447" s="148"/>
      <c r="X447" s="148"/>
      <c r="Y447" s="148"/>
      <c r="Z447" s="148"/>
      <c r="AA447" s="148"/>
      <c r="AB447" s="148"/>
      <c r="AC447" s="148"/>
      <c r="AD447" s="148"/>
      <c r="AE447" s="148"/>
      <c r="AF447" s="148"/>
      <c r="AG447" s="148"/>
      <c r="AH447" s="148"/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  <c r="BI447" s="148"/>
      <c r="BJ447" s="148"/>
      <c r="BK447" s="148"/>
      <c r="BL447" s="148"/>
    </row>
    <row r="448" spans="1:64" x14ac:dyDescent="0.2">
      <c r="A448" s="148"/>
      <c r="B448" s="148"/>
      <c r="C448" s="148"/>
      <c r="D448" s="148"/>
      <c r="E448" s="148"/>
      <c r="F448" s="148"/>
      <c r="G448" s="148"/>
      <c r="H448" s="148"/>
      <c r="I448" s="148"/>
      <c r="J448" s="148"/>
      <c r="K448" s="148"/>
      <c r="L448" s="148"/>
      <c r="M448" s="148"/>
      <c r="N448" s="148"/>
      <c r="O448" s="148"/>
      <c r="P448" s="148"/>
      <c r="Q448" s="148"/>
      <c r="R448" s="148"/>
      <c r="S448" s="148"/>
      <c r="T448" s="148"/>
      <c r="U448" s="148"/>
      <c r="V448" s="148"/>
      <c r="W448" s="148"/>
      <c r="X448" s="148"/>
      <c r="Y448" s="148"/>
      <c r="Z448" s="148"/>
      <c r="AA448" s="148"/>
      <c r="AB448" s="148"/>
      <c r="AC448" s="148"/>
      <c r="AD448" s="148"/>
      <c r="AE448" s="148"/>
      <c r="AF448" s="148"/>
      <c r="AG448" s="148"/>
      <c r="AH448" s="148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  <c r="BI448" s="148"/>
      <c r="BJ448" s="148"/>
      <c r="BK448" s="148"/>
      <c r="BL448" s="148"/>
    </row>
    <row r="449" spans="1:64" x14ac:dyDescent="0.2">
      <c r="A449" s="148"/>
      <c r="B449" s="148"/>
      <c r="C449" s="148"/>
      <c r="D449" s="148"/>
      <c r="E449" s="148"/>
      <c r="F449" s="148"/>
      <c r="G449" s="148"/>
      <c r="H449" s="148"/>
      <c r="I449" s="148"/>
      <c r="J449" s="148"/>
      <c r="K449" s="148"/>
      <c r="L449" s="148"/>
      <c r="M449" s="148"/>
      <c r="N449" s="148"/>
      <c r="O449" s="148"/>
      <c r="P449" s="148"/>
      <c r="Q449" s="148"/>
      <c r="R449" s="148"/>
      <c r="S449" s="148"/>
      <c r="T449" s="148"/>
      <c r="U449" s="148"/>
      <c r="V449" s="148"/>
      <c r="W449" s="14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/>
      <c r="AH449" s="148"/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  <c r="BI449" s="148"/>
      <c r="BJ449" s="148"/>
      <c r="BK449" s="148"/>
      <c r="BL449" s="148"/>
    </row>
    <row r="450" spans="1:64" x14ac:dyDescent="0.2">
      <c r="A450" s="148"/>
      <c r="B450" s="148"/>
      <c r="C450" s="148"/>
      <c r="D450" s="148"/>
      <c r="E450" s="148"/>
      <c r="F450" s="148"/>
      <c r="G450" s="148"/>
      <c r="H450" s="148"/>
      <c r="I450" s="148"/>
      <c r="J450" s="148"/>
      <c r="K450" s="148"/>
      <c r="L450" s="148"/>
      <c r="M450" s="148"/>
      <c r="N450" s="148"/>
      <c r="O450" s="148"/>
      <c r="P450" s="148"/>
      <c r="Q450" s="148"/>
      <c r="R450" s="148"/>
      <c r="S450" s="148"/>
      <c r="T450" s="148"/>
      <c r="U450" s="148"/>
      <c r="V450" s="148"/>
      <c r="W450" s="14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/>
      <c r="AH450" s="148"/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  <c r="BI450" s="148"/>
      <c r="BJ450" s="148"/>
      <c r="BK450" s="148"/>
      <c r="BL450" s="148"/>
    </row>
    <row r="451" spans="1:64" x14ac:dyDescent="0.2">
      <c r="A451" s="148"/>
      <c r="B451" s="148"/>
      <c r="C451" s="148"/>
      <c r="D451" s="148"/>
      <c r="E451" s="148"/>
      <c r="F451" s="148"/>
      <c r="G451" s="148"/>
      <c r="H451" s="148"/>
      <c r="I451" s="148"/>
      <c r="J451" s="148"/>
      <c r="K451" s="148"/>
      <c r="L451" s="148"/>
      <c r="M451" s="148"/>
      <c r="N451" s="148"/>
      <c r="O451" s="148"/>
      <c r="P451" s="148"/>
      <c r="Q451" s="148"/>
      <c r="R451" s="148"/>
      <c r="S451" s="148"/>
      <c r="T451" s="148"/>
      <c r="U451" s="148"/>
      <c r="V451" s="148"/>
      <c r="W451" s="148"/>
      <c r="X451" s="148"/>
      <c r="Y451" s="148"/>
      <c r="Z451" s="148"/>
      <c r="AA451" s="148"/>
      <c r="AB451" s="148"/>
      <c r="AC451" s="148"/>
      <c r="AD451" s="148"/>
      <c r="AE451" s="148"/>
      <c r="AF451" s="148"/>
      <c r="AG451" s="148"/>
      <c r="AH451" s="148"/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  <c r="BI451" s="148"/>
      <c r="BJ451" s="148"/>
      <c r="BK451" s="148"/>
      <c r="BL451" s="148"/>
    </row>
    <row r="452" spans="1:64" x14ac:dyDescent="0.2">
      <c r="A452" s="148"/>
      <c r="B452" s="148"/>
      <c r="C452" s="148"/>
      <c r="D452" s="148"/>
      <c r="E452" s="148"/>
      <c r="F452" s="148"/>
      <c r="G452" s="148"/>
      <c r="H452" s="148"/>
      <c r="I452" s="148"/>
      <c r="J452" s="148"/>
      <c r="K452" s="148"/>
      <c r="L452" s="148"/>
      <c r="M452" s="148"/>
      <c r="N452" s="148"/>
      <c r="O452" s="148"/>
      <c r="P452" s="148"/>
      <c r="Q452" s="148"/>
      <c r="R452" s="148"/>
      <c r="S452" s="148"/>
      <c r="T452" s="148"/>
      <c r="U452" s="148"/>
      <c r="V452" s="148"/>
      <c r="W452" s="14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/>
      <c r="AH452" s="148"/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  <c r="BI452" s="148"/>
      <c r="BJ452" s="148"/>
      <c r="BK452" s="148"/>
      <c r="BL452" s="148"/>
    </row>
    <row r="453" spans="1:64" x14ac:dyDescent="0.2">
      <c r="A453" s="148"/>
      <c r="B453" s="148"/>
      <c r="C453" s="148"/>
      <c r="D453" s="148"/>
      <c r="E453" s="148"/>
      <c r="F453" s="148"/>
      <c r="G453" s="148"/>
      <c r="H453" s="148"/>
      <c r="I453" s="148"/>
      <c r="J453" s="148"/>
      <c r="K453" s="148"/>
      <c r="L453" s="148"/>
      <c r="M453" s="148"/>
      <c r="N453" s="148"/>
      <c r="O453" s="148"/>
      <c r="P453" s="148"/>
      <c r="Q453" s="148"/>
      <c r="R453" s="148"/>
      <c r="S453" s="148"/>
      <c r="T453" s="148"/>
      <c r="U453" s="148"/>
      <c r="V453" s="148"/>
      <c r="W453" s="148"/>
      <c r="X453" s="148"/>
      <c r="Y453" s="148"/>
      <c r="Z453" s="148"/>
      <c r="AA453" s="148"/>
      <c r="AB453" s="148"/>
      <c r="AC453" s="148"/>
      <c r="AD453" s="148"/>
      <c r="AE453" s="148"/>
      <c r="AF453" s="148"/>
      <c r="AG453" s="148"/>
      <c r="AH453" s="148"/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  <c r="BI453" s="148"/>
      <c r="BJ453" s="148"/>
      <c r="BK453" s="148"/>
      <c r="BL453" s="148"/>
    </row>
    <row r="454" spans="1:64" x14ac:dyDescent="0.2">
      <c r="A454" s="148"/>
      <c r="B454" s="148"/>
      <c r="C454" s="148"/>
      <c r="D454" s="148"/>
      <c r="E454" s="148"/>
      <c r="F454" s="148"/>
      <c r="G454" s="148"/>
      <c r="H454" s="148"/>
      <c r="I454" s="148"/>
      <c r="J454" s="148"/>
      <c r="K454" s="148"/>
      <c r="L454" s="148"/>
      <c r="M454" s="148"/>
      <c r="N454" s="148"/>
      <c r="O454" s="148"/>
      <c r="P454" s="148"/>
      <c r="Q454" s="148"/>
      <c r="R454" s="148"/>
      <c r="S454" s="148"/>
      <c r="T454" s="148"/>
      <c r="U454" s="148"/>
      <c r="V454" s="148"/>
      <c r="W454" s="14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/>
      <c r="AH454" s="148"/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  <c r="BI454" s="148"/>
      <c r="BJ454" s="148"/>
      <c r="BK454" s="148"/>
      <c r="BL454" s="148"/>
    </row>
    <row r="455" spans="1:64" x14ac:dyDescent="0.2">
      <c r="A455" s="148"/>
      <c r="B455" s="148"/>
      <c r="C455" s="148"/>
      <c r="D455" s="148"/>
      <c r="E455" s="148"/>
      <c r="F455" s="148"/>
      <c r="G455" s="148"/>
      <c r="H455" s="148"/>
      <c r="I455" s="148"/>
      <c r="J455" s="148"/>
      <c r="K455" s="148"/>
      <c r="L455" s="148"/>
      <c r="M455" s="148"/>
      <c r="N455" s="148"/>
      <c r="O455" s="148"/>
      <c r="P455" s="148"/>
      <c r="Q455" s="148"/>
      <c r="R455" s="148"/>
      <c r="S455" s="148"/>
      <c r="T455" s="148"/>
      <c r="U455" s="148"/>
      <c r="V455" s="148"/>
      <c r="W455" s="148"/>
      <c r="X455" s="148"/>
      <c r="Y455" s="148"/>
      <c r="Z455" s="148"/>
      <c r="AA455" s="148"/>
      <c r="AB455" s="148"/>
      <c r="AC455" s="148"/>
      <c r="AD455" s="148"/>
      <c r="AE455" s="148"/>
      <c r="AF455" s="148"/>
      <c r="AG455" s="148"/>
      <c r="AH455" s="148"/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  <c r="BI455" s="148"/>
      <c r="BJ455" s="148"/>
      <c r="BK455" s="148"/>
      <c r="BL455" s="148"/>
    </row>
    <row r="456" spans="1:64" x14ac:dyDescent="0.2">
      <c r="A456" s="148"/>
      <c r="B456" s="148"/>
      <c r="C456" s="148"/>
      <c r="D456" s="148"/>
      <c r="E456" s="148"/>
      <c r="F456" s="148"/>
      <c r="G456" s="148"/>
      <c r="H456" s="148"/>
      <c r="I456" s="148"/>
      <c r="J456" s="148"/>
      <c r="K456" s="148"/>
      <c r="L456" s="148"/>
      <c r="M456" s="148"/>
      <c r="N456" s="148"/>
      <c r="O456" s="148"/>
      <c r="P456" s="148"/>
      <c r="Q456" s="148"/>
      <c r="R456" s="148"/>
      <c r="S456" s="148"/>
      <c r="T456" s="148"/>
      <c r="U456" s="148"/>
      <c r="V456" s="148"/>
      <c r="W456" s="148"/>
      <c r="X456" s="148"/>
      <c r="Y456" s="148"/>
      <c r="Z456" s="148"/>
      <c r="AA456" s="148"/>
      <c r="AB456" s="148"/>
      <c r="AC456" s="148"/>
      <c r="AD456" s="148"/>
      <c r="AE456" s="148"/>
      <c r="AF456" s="148"/>
      <c r="AG456" s="148"/>
      <c r="AH456" s="148"/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  <c r="BI456" s="148"/>
      <c r="BJ456" s="148"/>
      <c r="BK456" s="148"/>
      <c r="BL456" s="148"/>
    </row>
    <row r="457" spans="1:64" x14ac:dyDescent="0.2">
      <c r="A457" s="148"/>
      <c r="B457" s="148"/>
      <c r="C457" s="148"/>
      <c r="D457" s="148"/>
      <c r="E457" s="148"/>
      <c r="F457" s="148"/>
      <c r="G457" s="148"/>
      <c r="H457" s="148"/>
      <c r="I457" s="148"/>
      <c r="J457" s="148"/>
      <c r="K457" s="148"/>
      <c r="L457" s="148"/>
      <c r="M457" s="148"/>
      <c r="N457" s="148"/>
      <c r="O457" s="148"/>
      <c r="P457" s="148"/>
      <c r="Q457" s="148"/>
      <c r="R457" s="148"/>
      <c r="S457" s="148"/>
      <c r="T457" s="148"/>
      <c r="U457" s="148"/>
      <c r="V457" s="148"/>
      <c r="W457" s="148"/>
      <c r="X457" s="148"/>
      <c r="Y457" s="148"/>
      <c r="Z457" s="148"/>
      <c r="AA457" s="148"/>
      <c r="AB457" s="148"/>
      <c r="AC457" s="148"/>
      <c r="AD457" s="148"/>
      <c r="AE457" s="148"/>
      <c r="AF457" s="148"/>
      <c r="AG457" s="148"/>
      <c r="AH457" s="148"/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  <c r="BI457" s="148"/>
      <c r="BJ457" s="148"/>
      <c r="BK457" s="148"/>
      <c r="BL457" s="148"/>
    </row>
    <row r="458" spans="1:64" x14ac:dyDescent="0.2">
      <c r="A458" s="148"/>
      <c r="B458" s="148"/>
      <c r="C458" s="148"/>
      <c r="D458" s="148"/>
      <c r="E458" s="148"/>
      <c r="F458" s="148"/>
      <c r="G458" s="148"/>
      <c r="H458" s="148"/>
      <c r="I458" s="148"/>
      <c r="J458" s="148"/>
      <c r="K458" s="148"/>
      <c r="L458" s="148"/>
      <c r="M458" s="148"/>
      <c r="N458" s="148"/>
      <c r="O458" s="148"/>
      <c r="P458" s="148"/>
      <c r="Q458" s="148"/>
      <c r="R458" s="148"/>
      <c r="S458" s="148"/>
      <c r="T458" s="148"/>
      <c r="U458" s="148"/>
      <c r="V458" s="148"/>
      <c r="W458" s="148"/>
      <c r="X458" s="148"/>
      <c r="Y458" s="148"/>
      <c r="Z458" s="148"/>
      <c r="AA458" s="148"/>
      <c r="AB458" s="148"/>
      <c r="AC458" s="148"/>
      <c r="AD458" s="148"/>
      <c r="AE458" s="148"/>
      <c r="AF458" s="148"/>
      <c r="AG458" s="148"/>
      <c r="AH458" s="148"/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  <c r="BI458" s="148"/>
      <c r="BJ458" s="148"/>
      <c r="BK458" s="148"/>
      <c r="BL458" s="148"/>
    </row>
    <row r="459" spans="1:64" x14ac:dyDescent="0.2">
      <c r="A459" s="148"/>
      <c r="B459" s="148"/>
      <c r="C459" s="148"/>
      <c r="D459" s="148"/>
      <c r="E459" s="148"/>
      <c r="F459" s="148"/>
      <c r="G459" s="148"/>
      <c r="H459" s="148"/>
      <c r="I459" s="148"/>
      <c r="J459" s="148"/>
      <c r="K459" s="148"/>
      <c r="L459" s="148"/>
      <c r="M459" s="148"/>
      <c r="N459" s="148"/>
      <c r="O459" s="148"/>
      <c r="P459" s="148"/>
      <c r="Q459" s="148"/>
      <c r="R459" s="148"/>
      <c r="S459" s="148"/>
      <c r="T459" s="148"/>
      <c r="U459" s="148"/>
      <c r="V459" s="148"/>
      <c r="W459" s="148"/>
      <c r="X459" s="148"/>
      <c r="Y459" s="148"/>
      <c r="Z459" s="148"/>
      <c r="AA459" s="148"/>
      <c r="AB459" s="148"/>
      <c r="AC459" s="148"/>
      <c r="AD459" s="148"/>
      <c r="AE459" s="148"/>
      <c r="AF459" s="148"/>
      <c r="AG459" s="148"/>
      <c r="AH459" s="148"/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  <c r="BI459" s="148"/>
      <c r="BJ459" s="148"/>
      <c r="BK459" s="148"/>
      <c r="BL459" s="148"/>
    </row>
    <row r="460" spans="1:64" x14ac:dyDescent="0.2">
      <c r="A460" s="148"/>
      <c r="B460" s="148"/>
      <c r="C460" s="148"/>
      <c r="D460" s="148"/>
      <c r="E460" s="148"/>
      <c r="F460" s="148"/>
      <c r="G460" s="148"/>
      <c r="H460" s="148"/>
      <c r="I460" s="148"/>
      <c r="J460" s="148"/>
      <c r="K460" s="148"/>
      <c r="L460" s="148"/>
      <c r="M460" s="148"/>
      <c r="N460" s="148"/>
      <c r="O460" s="148"/>
      <c r="P460" s="148"/>
      <c r="Q460" s="148"/>
      <c r="R460" s="148"/>
      <c r="S460" s="148"/>
      <c r="T460" s="148"/>
      <c r="U460" s="148"/>
      <c r="V460" s="148"/>
      <c r="W460" s="148"/>
      <c r="X460" s="148"/>
      <c r="Y460" s="148"/>
      <c r="Z460" s="148"/>
      <c r="AA460" s="148"/>
      <c r="AB460" s="148"/>
      <c r="AC460" s="148"/>
      <c r="AD460" s="148"/>
      <c r="AE460" s="148"/>
      <c r="AF460" s="148"/>
      <c r="AG460" s="148"/>
      <c r="AH460" s="148"/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  <c r="BI460" s="148"/>
      <c r="BJ460" s="148"/>
      <c r="BK460" s="148"/>
      <c r="BL460" s="148"/>
    </row>
    <row r="461" spans="1:64" x14ac:dyDescent="0.2">
      <c r="A461" s="148"/>
      <c r="B461" s="148"/>
      <c r="C461" s="148"/>
      <c r="D461" s="148"/>
      <c r="E461" s="148"/>
      <c r="F461" s="148"/>
      <c r="G461" s="148"/>
      <c r="H461" s="148"/>
      <c r="I461" s="148"/>
      <c r="J461" s="148"/>
      <c r="K461" s="148"/>
      <c r="L461" s="148"/>
      <c r="M461" s="148"/>
      <c r="N461" s="148"/>
      <c r="O461" s="148"/>
      <c r="P461" s="148"/>
      <c r="Q461" s="148"/>
      <c r="R461" s="148"/>
      <c r="S461" s="148"/>
      <c r="T461" s="148"/>
      <c r="U461" s="148"/>
      <c r="V461" s="148"/>
      <c r="W461" s="148"/>
      <c r="X461" s="148"/>
      <c r="Y461" s="148"/>
      <c r="Z461" s="148"/>
      <c r="AA461" s="148"/>
      <c r="AB461" s="148"/>
      <c r="AC461" s="148"/>
      <c r="AD461" s="148"/>
      <c r="AE461" s="148"/>
      <c r="AF461" s="148"/>
      <c r="AG461" s="148"/>
      <c r="AH461" s="148"/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  <c r="BI461" s="148"/>
      <c r="BJ461" s="148"/>
      <c r="BK461" s="148"/>
      <c r="BL461" s="148"/>
    </row>
    <row r="462" spans="1:64" x14ac:dyDescent="0.2">
      <c r="A462" s="148"/>
      <c r="B462" s="148"/>
      <c r="C462" s="148"/>
      <c r="D462" s="148"/>
      <c r="E462" s="148"/>
      <c r="F462" s="148"/>
      <c r="G462" s="148"/>
      <c r="H462" s="148"/>
      <c r="I462" s="148"/>
      <c r="J462" s="148"/>
      <c r="K462" s="148"/>
      <c r="L462" s="148"/>
      <c r="M462" s="148"/>
      <c r="N462" s="148"/>
      <c r="O462" s="148"/>
      <c r="P462" s="148"/>
      <c r="Q462" s="148"/>
      <c r="R462" s="148"/>
      <c r="S462" s="148"/>
      <c r="T462" s="148"/>
      <c r="U462" s="148"/>
      <c r="V462" s="148"/>
      <c r="W462" s="148"/>
      <c r="X462" s="148"/>
      <c r="Y462" s="148"/>
      <c r="Z462" s="148"/>
      <c r="AA462" s="148"/>
      <c r="AB462" s="148"/>
      <c r="AC462" s="148"/>
      <c r="AD462" s="148"/>
      <c r="AE462" s="148"/>
      <c r="AF462" s="148"/>
      <c r="AG462" s="148"/>
      <c r="AH462" s="148"/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  <c r="BI462" s="148"/>
      <c r="BJ462" s="148"/>
      <c r="BK462" s="148"/>
      <c r="BL462" s="148"/>
    </row>
    <row r="463" spans="1:64" x14ac:dyDescent="0.2">
      <c r="A463" s="148"/>
      <c r="B463" s="148"/>
      <c r="C463" s="148"/>
      <c r="D463" s="148"/>
      <c r="E463" s="148"/>
      <c r="F463" s="148"/>
      <c r="G463" s="148"/>
      <c r="H463" s="148"/>
      <c r="I463" s="148"/>
      <c r="J463" s="148"/>
      <c r="K463" s="148"/>
      <c r="L463" s="148"/>
      <c r="M463" s="148"/>
      <c r="N463" s="148"/>
      <c r="O463" s="148"/>
      <c r="P463" s="148"/>
      <c r="Q463" s="148"/>
      <c r="R463" s="148"/>
      <c r="S463" s="148"/>
      <c r="T463" s="148"/>
      <c r="U463" s="148"/>
      <c r="V463" s="148"/>
      <c r="W463" s="148"/>
      <c r="X463" s="148"/>
      <c r="Y463" s="148"/>
      <c r="Z463" s="148"/>
      <c r="AA463" s="148"/>
      <c r="AB463" s="148"/>
      <c r="AC463" s="148"/>
      <c r="AD463" s="148"/>
      <c r="AE463" s="148"/>
      <c r="AF463" s="148"/>
      <c r="AG463" s="148"/>
      <c r="AH463" s="148"/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  <c r="BI463" s="148"/>
      <c r="BJ463" s="148"/>
      <c r="BK463" s="148"/>
      <c r="BL463" s="148"/>
    </row>
    <row r="464" spans="1:64" x14ac:dyDescent="0.2">
      <c r="A464" s="148"/>
      <c r="B464" s="148"/>
      <c r="C464" s="148"/>
      <c r="D464" s="148"/>
      <c r="E464" s="148"/>
      <c r="F464" s="148"/>
      <c r="G464" s="148"/>
      <c r="H464" s="148"/>
      <c r="I464" s="148"/>
      <c r="J464" s="148"/>
      <c r="K464" s="148"/>
      <c r="L464" s="148"/>
      <c r="M464" s="148"/>
      <c r="N464" s="148"/>
      <c r="O464" s="148"/>
      <c r="P464" s="148"/>
      <c r="Q464" s="148"/>
      <c r="R464" s="148"/>
      <c r="S464" s="148"/>
      <c r="T464" s="148"/>
      <c r="U464" s="148"/>
      <c r="V464" s="148"/>
      <c r="W464" s="14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/>
      <c r="AH464" s="148"/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  <c r="BI464" s="148"/>
      <c r="BJ464" s="148"/>
      <c r="BK464" s="148"/>
      <c r="BL464" s="148"/>
    </row>
    <row r="465" spans="1:64" x14ac:dyDescent="0.2">
      <c r="A465" s="148"/>
      <c r="B465" s="148"/>
      <c r="C465" s="148"/>
      <c r="D465" s="148"/>
      <c r="E465" s="148"/>
      <c r="F465" s="148"/>
      <c r="G465" s="148"/>
      <c r="H465" s="148"/>
      <c r="I465" s="148"/>
      <c r="J465" s="148"/>
      <c r="K465" s="148"/>
      <c r="L465" s="148"/>
      <c r="M465" s="148"/>
      <c r="N465" s="148"/>
      <c r="O465" s="148"/>
      <c r="P465" s="148"/>
      <c r="Q465" s="148"/>
      <c r="R465" s="148"/>
      <c r="S465" s="148"/>
      <c r="T465" s="148"/>
      <c r="U465" s="148"/>
      <c r="V465" s="148"/>
      <c r="W465" s="14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  <c r="BI465" s="148"/>
      <c r="BJ465" s="148"/>
      <c r="BK465" s="148"/>
      <c r="BL465" s="148"/>
    </row>
    <row r="466" spans="1:64" x14ac:dyDescent="0.2">
      <c r="A466" s="148"/>
      <c r="B466" s="148"/>
      <c r="C466" s="148"/>
      <c r="D466" s="148"/>
      <c r="E466" s="148"/>
      <c r="F466" s="148"/>
      <c r="G466" s="148"/>
      <c r="H466" s="148"/>
      <c r="I466" s="148"/>
      <c r="J466" s="148"/>
      <c r="K466" s="148"/>
      <c r="L466" s="148"/>
      <c r="M466" s="148"/>
      <c r="N466" s="148"/>
      <c r="O466" s="148"/>
      <c r="P466" s="148"/>
      <c r="Q466" s="148"/>
      <c r="R466" s="148"/>
      <c r="S466" s="148"/>
      <c r="T466" s="148"/>
      <c r="U466" s="148"/>
      <c r="V466" s="148"/>
      <c r="W466" s="148"/>
      <c r="X466" s="148"/>
      <c r="Y466" s="148"/>
      <c r="Z466" s="148"/>
      <c r="AA466" s="148"/>
      <c r="AB466" s="148"/>
      <c r="AC466" s="148"/>
      <c r="AD466" s="148"/>
      <c r="AE466" s="148"/>
      <c r="AF466" s="148"/>
      <c r="AG466" s="148"/>
      <c r="AH466" s="148"/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  <c r="BI466" s="148"/>
      <c r="BJ466" s="148"/>
      <c r="BK466" s="148"/>
      <c r="BL466" s="148"/>
    </row>
    <row r="467" spans="1:64" x14ac:dyDescent="0.2">
      <c r="A467" s="148"/>
      <c r="B467" s="148"/>
      <c r="C467" s="148"/>
      <c r="D467" s="148"/>
      <c r="E467" s="148"/>
      <c r="F467" s="148"/>
      <c r="G467" s="148"/>
      <c r="H467" s="148"/>
      <c r="I467" s="148"/>
      <c r="J467" s="148"/>
      <c r="K467" s="148"/>
      <c r="L467" s="148"/>
      <c r="M467" s="148"/>
      <c r="N467" s="148"/>
      <c r="O467" s="148"/>
      <c r="P467" s="148"/>
      <c r="Q467" s="148"/>
      <c r="R467" s="148"/>
      <c r="S467" s="148"/>
      <c r="T467" s="148"/>
      <c r="U467" s="148"/>
      <c r="V467" s="148"/>
      <c r="W467" s="148"/>
      <c r="X467" s="148"/>
      <c r="Y467" s="148"/>
      <c r="Z467" s="148"/>
      <c r="AA467" s="148"/>
      <c r="AB467" s="148"/>
      <c r="AC467" s="148"/>
      <c r="AD467" s="148"/>
      <c r="AE467" s="148"/>
      <c r="AF467" s="148"/>
      <c r="AG467" s="148"/>
      <c r="AH467" s="148"/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  <c r="BI467" s="148"/>
      <c r="BJ467" s="148"/>
      <c r="BK467" s="148"/>
      <c r="BL467" s="148"/>
    </row>
    <row r="468" spans="1:64" x14ac:dyDescent="0.2">
      <c r="A468" s="148"/>
      <c r="B468" s="148"/>
      <c r="C468" s="148"/>
      <c r="D468" s="148"/>
      <c r="E468" s="148"/>
      <c r="F468" s="148"/>
      <c r="G468" s="148"/>
      <c r="H468" s="148"/>
      <c r="I468" s="148"/>
      <c r="J468" s="148"/>
      <c r="K468" s="148"/>
      <c r="L468" s="148"/>
      <c r="M468" s="148"/>
      <c r="N468" s="148"/>
      <c r="O468" s="148"/>
      <c r="P468" s="148"/>
      <c r="Q468" s="148"/>
      <c r="R468" s="148"/>
      <c r="S468" s="148"/>
      <c r="T468" s="148"/>
      <c r="U468" s="148"/>
      <c r="V468" s="148"/>
      <c r="W468" s="148"/>
      <c r="X468" s="148"/>
      <c r="Y468" s="148"/>
      <c r="Z468" s="148"/>
      <c r="AA468" s="148"/>
      <c r="AB468" s="148"/>
      <c r="AC468" s="148"/>
      <c r="AD468" s="148"/>
      <c r="AE468" s="148"/>
      <c r="AF468" s="148"/>
      <c r="AG468" s="148"/>
      <c r="AH468" s="148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  <c r="BI468" s="148"/>
      <c r="BJ468" s="148"/>
      <c r="BK468" s="148"/>
      <c r="BL468" s="148"/>
    </row>
    <row r="469" spans="1:64" x14ac:dyDescent="0.2">
      <c r="A469" s="148"/>
      <c r="B469" s="148"/>
      <c r="C469" s="148"/>
      <c r="D469" s="148"/>
      <c r="E469" s="148"/>
      <c r="F469" s="148"/>
      <c r="G469" s="148"/>
      <c r="H469" s="148"/>
      <c r="I469" s="148"/>
      <c r="J469" s="148"/>
      <c r="K469" s="148"/>
      <c r="L469" s="148"/>
      <c r="M469" s="148"/>
      <c r="N469" s="148"/>
      <c r="O469" s="148"/>
      <c r="P469" s="148"/>
      <c r="Q469" s="148"/>
      <c r="R469" s="148"/>
      <c r="S469" s="148"/>
      <c r="T469" s="148"/>
      <c r="U469" s="148"/>
      <c r="V469" s="148"/>
      <c r="W469" s="148"/>
      <c r="X469" s="148"/>
      <c r="Y469" s="148"/>
      <c r="Z469" s="148"/>
      <c r="AA469" s="148"/>
      <c r="AB469" s="148"/>
      <c r="AC469" s="148"/>
      <c r="AD469" s="148"/>
      <c r="AE469" s="148"/>
      <c r="AF469" s="148"/>
      <c r="AG469" s="148"/>
      <c r="AH469" s="148"/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  <c r="BI469" s="148"/>
      <c r="BJ469" s="148"/>
      <c r="BK469" s="148"/>
      <c r="BL469" s="148"/>
    </row>
    <row r="470" spans="1:64" x14ac:dyDescent="0.2">
      <c r="A470" s="148"/>
      <c r="B470" s="148"/>
      <c r="C470" s="148"/>
      <c r="D470" s="148"/>
      <c r="E470" s="148"/>
      <c r="F470" s="148"/>
      <c r="G470" s="148"/>
      <c r="H470" s="148"/>
      <c r="I470" s="148"/>
      <c r="J470" s="148"/>
      <c r="K470" s="148"/>
      <c r="L470" s="148"/>
      <c r="M470" s="148"/>
      <c r="N470" s="148"/>
      <c r="O470" s="148"/>
      <c r="P470" s="148"/>
      <c r="Q470" s="148"/>
      <c r="R470" s="148"/>
      <c r="S470" s="148"/>
      <c r="T470" s="148"/>
      <c r="U470" s="148"/>
      <c r="V470" s="148"/>
      <c r="W470" s="148"/>
      <c r="X470" s="148"/>
      <c r="Y470" s="148"/>
      <c r="Z470" s="148"/>
      <c r="AA470" s="148"/>
      <c r="AB470" s="148"/>
      <c r="AC470" s="148"/>
      <c r="AD470" s="148"/>
      <c r="AE470" s="148"/>
      <c r="AF470" s="148"/>
      <c r="AG470" s="148"/>
      <c r="AH470" s="148"/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  <c r="BI470" s="148"/>
      <c r="BJ470" s="148"/>
      <c r="BK470" s="148"/>
      <c r="BL470" s="148"/>
    </row>
    <row r="471" spans="1:64" x14ac:dyDescent="0.2">
      <c r="A471" s="148"/>
      <c r="B471" s="148"/>
      <c r="C471" s="148"/>
      <c r="D471" s="148"/>
      <c r="E471" s="148"/>
      <c r="F471" s="148"/>
      <c r="G471" s="148"/>
      <c r="H471" s="148"/>
      <c r="I471" s="148"/>
      <c r="J471" s="148"/>
      <c r="K471" s="148"/>
      <c r="L471" s="148"/>
      <c r="M471" s="148"/>
      <c r="N471" s="148"/>
      <c r="O471" s="148"/>
      <c r="P471" s="148"/>
      <c r="Q471" s="148"/>
      <c r="R471" s="148"/>
      <c r="S471" s="148"/>
      <c r="T471" s="148"/>
      <c r="U471" s="148"/>
      <c r="V471" s="148"/>
      <c r="W471" s="14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  <c r="BI471" s="148"/>
      <c r="BJ471" s="148"/>
      <c r="BK471" s="148"/>
      <c r="BL471" s="148"/>
    </row>
    <row r="472" spans="1:64" x14ac:dyDescent="0.2">
      <c r="A472" s="148"/>
      <c r="B472" s="148"/>
      <c r="C472" s="148"/>
      <c r="D472" s="148"/>
      <c r="E472" s="148"/>
      <c r="F472" s="148"/>
      <c r="G472" s="148"/>
      <c r="H472" s="148"/>
      <c r="I472" s="148"/>
      <c r="J472" s="148"/>
      <c r="K472" s="148"/>
      <c r="L472" s="148"/>
      <c r="M472" s="148"/>
      <c r="N472" s="148"/>
      <c r="O472" s="148"/>
      <c r="P472" s="148"/>
      <c r="Q472" s="148"/>
      <c r="R472" s="148"/>
      <c r="S472" s="148"/>
      <c r="T472" s="148"/>
      <c r="U472" s="148"/>
      <c r="V472" s="148"/>
      <c r="W472" s="148"/>
      <c r="X472" s="148"/>
      <c r="Y472" s="148"/>
      <c r="Z472" s="148"/>
      <c r="AA472" s="148"/>
      <c r="AB472" s="148"/>
      <c r="AC472" s="148"/>
      <c r="AD472" s="148"/>
      <c r="AE472" s="148"/>
      <c r="AF472" s="148"/>
      <c r="AG472" s="148"/>
      <c r="AH472" s="148"/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  <c r="BI472" s="148"/>
      <c r="BJ472" s="148"/>
      <c r="BK472" s="148"/>
      <c r="BL472" s="148"/>
    </row>
    <row r="473" spans="1:64" x14ac:dyDescent="0.2">
      <c r="A473" s="148"/>
      <c r="B473" s="148"/>
      <c r="C473" s="148"/>
      <c r="D473" s="148"/>
      <c r="E473" s="148"/>
      <c r="F473" s="148"/>
      <c r="G473" s="148"/>
      <c r="H473" s="148"/>
      <c r="I473" s="148"/>
      <c r="J473" s="148"/>
      <c r="K473" s="148"/>
      <c r="L473" s="148"/>
      <c r="M473" s="148"/>
      <c r="N473" s="148"/>
      <c r="O473" s="148"/>
      <c r="P473" s="148"/>
      <c r="Q473" s="148"/>
      <c r="R473" s="148"/>
      <c r="S473" s="148"/>
      <c r="T473" s="148"/>
      <c r="U473" s="148"/>
      <c r="V473" s="148"/>
      <c r="W473" s="148"/>
      <c r="X473" s="148"/>
      <c r="Y473" s="148"/>
      <c r="Z473" s="148"/>
      <c r="AA473" s="148"/>
      <c r="AB473" s="148"/>
      <c r="AC473" s="148"/>
      <c r="AD473" s="148"/>
      <c r="AE473" s="148"/>
      <c r="AF473" s="148"/>
      <c r="AG473" s="148"/>
      <c r="AH473" s="148"/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  <c r="BI473" s="148"/>
      <c r="BJ473" s="148"/>
      <c r="BK473" s="148"/>
      <c r="BL473" s="148"/>
    </row>
    <row r="474" spans="1:64" x14ac:dyDescent="0.2">
      <c r="A474" s="148"/>
      <c r="B474" s="148"/>
      <c r="C474" s="148"/>
      <c r="D474" s="148"/>
      <c r="E474" s="148"/>
      <c r="F474" s="148"/>
      <c r="G474" s="148"/>
      <c r="H474" s="148"/>
      <c r="I474" s="148"/>
      <c r="J474" s="148"/>
      <c r="K474" s="148"/>
      <c r="L474" s="148"/>
      <c r="M474" s="148"/>
      <c r="N474" s="148"/>
      <c r="O474" s="148"/>
      <c r="P474" s="148"/>
      <c r="Q474" s="148"/>
      <c r="R474" s="148"/>
      <c r="S474" s="148"/>
      <c r="T474" s="148"/>
      <c r="U474" s="148"/>
      <c r="V474" s="148"/>
      <c r="W474" s="14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</row>
    <row r="475" spans="1:64" x14ac:dyDescent="0.2">
      <c r="A475" s="148"/>
      <c r="B475" s="148"/>
      <c r="C475" s="148"/>
      <c r="D475" s="148"/>
      <c r="E475" s="148"/>
      <c r="F475" s="148"/>
      <c r="G475" s="148"/>
      <c r="H475" s="148"/>
      <c r="I475" s="148"/>
      <c r="J475" s="148"/>
      <c r="K475" s="148"/>
      <c r="L475" s="148"/>
      <c r="M475" s="148"/>
      <c r="N475" s="148"/>
      <c r="O475" s="148"/>
      <c r="P475" s="148"/>
      <c r="Q475" s="148"/>
      <c r="R475" s="148"/>
      <c r="S475" s="148"/>
      <c r="T475" s="148"/>
      <c r="U475" s="148"/>
      <c r="V475" s="148"/>
      <c r="W475" s="14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/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  <c r="BI475" s="148"/>
      <c r="BJ475" s="148"/>
      <c r="BK475" s="148"/>
      <c r="BL475" s="148"/>
    </row>
    <row r="476" spans="1:64" x14ac:dyDescent="0.2">
      <c r="A476" s="148"/>
      <c r="B476" s="148"/>
      <c r="C476" s="148"/>
      <c r="D476" s="148"/>
      <c r="E476" s="148"/>
      <c r="F476" s="148"/>
      <c r="G476" s="148"/>
      <c r="H476" s="148"/>
      <c r="I476" s="148"/>
      <c r="J476" s="148"/>
      <c r="K476" s="148"/>
      <c r="L476" s="148"/>
      <c r="M476" s="148"/>
      <c r="N476" s="148"/>
      <c r="O476" s="148"/>
      <c r="P476" s="148"/>
      <c r="Q476" s="148"/>
      <c r="R476" s="148"/>
      <c r="S476" s="148"/>
      <c r="T476" s="148"/>
      <c r="U476" s="148"/>
      <c r="V476" s="148"/>
      <c r="W476" s="14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/>
      <c r="AH476" s="148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  <c r="BI476" s="148"/>
      <c r="BJ476" s="148"/>
      <c r="BK476" s="148"/>
      <c r="BL476" s="148"/>
    </row>
    <row r="477" spans="1:64" x14ac:dyDescent="0.2">
      <c r="A477" s="148"/>
      <c r="B477" s="148"/>
      <c r="C477" s="148"/>
      <c r="D477" s="148"/>
      <c r="E477" s="148"/>
      <c r="F477" s="148"/>
      <c r="G477" s="148"/>
      <c r="H477" s="148"/>
      <c r="I477" s="148"/>
      <c r="J477" s="148"/>
      <c r="K477" s="148"/>
      <c r="L477" s="148"/>
      <c r="M477" s="148"/>
      <c r="N477" s="148"/>
      <c r="O477" s="148"/>
      <c r="P477" s="148"/>
      <c r="Q477" s="148"/>
      <c r="R477" s="148"/>
      <c r="S477" s="148"/>
      <c r="T477" s="148"/>
      <c r="U477" s="148"/>
      <c r="V477" s="148"/>
      <c r="W477" s="14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  <c r="BI477" s="148"/>
      <c r="BJ477" s="148"/>
      <c r="BK477" s="148"/>
      <c r="BL477" s="148"/>
    </row>
    <row r="478" spans="1:64" x14ac:dyDescent="0.2">
      <c r="A478" s="148"/>
      <c r="B478" s="148"/>
      <c r="C478" s="148"/>
      <c r="D478" s="148"/>
      <c r="E478" s="148"/>
      <c r="F478" s="148"/>
      <c r="G478" s="148"/>
      <c r="H478" s="148"/>
      <c r="I478" s="148"/>
      <c r="J478" s="148"/>
      <c r="K478" s="148"/>
      <c r="L478" s="148"/>
      <c r="M478" s="148"/>
      <c r="N478" s="148"/>
      <c r="O478" s="148"/>
      <c r="P478" s="148"/>
      <c r="Q478" s="148"/>
      <c r="R478" s="148"/>
      <c r="S478" s="148"/>
      <c r="T478" s="148"/>
      <c r="U478" s="148"/>
      <c r="V478" s="148"/>
      <c r="W478" s="14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/>
      <c r="AH478" s="148"/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  <c r="BI478" s="148"/>
      <c r="BJ478" s="148"/>
      <c r="BK478" s="148"/>
      <c r="BL478" s="148"/>
    </row>
    <row r="479" spans="1:64" x14ac:dyDescent="0.2">
      <c r="A479" s="148"/>
      <c r="B479" s="148"/>
      <c r="C479" s="148"/>
      <c r="D479" s="148"/>
      <c r="E479" s="148"/>
      <c r="F479" s="148"/>
      <c r="G479" s="148"/>
      <c r="H479" s="148"/>
      <c r="I479" s="148"/>
      <c r="J479" s="148"/>
      <c r="K479" s="148"/>
      <c r="L479" s="148"/>
      <c r="M479" s="148"/>
      <c r="N479" s="148"/>
      <c r="O479" s="148"/>
      <c r="P479" s="148"/>
      <c r="Q479" s="148"/>
      <c r="R479" s="148"/>
      <c r="S479" s="148"/>
      <c r="T479" s="148"/>
      <c r="U479" s="148"/>
      <c r="V479" s="148"/>
      <c r="W479" s="14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/>
      <c r="AH479" s="148"/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  <c r="BI479" s="148"/>
      <c r="BJ479" s="148"/>
      <c r="BK479" s="148"/>
      <c r="BL479" s="148"/>
    </row>
    <row r="480" spans="1:64" x14ac:dyDescent="0.2">
      <c r="A480" s="148"/>
      <c r="B480" s="148"/>
      <c r="C480" s="148"/>
      <c r="D480" s="148"/>
      <c r="E480" s="148"/>
      <c r="F480" s="148"/>
      <c r="G480" s="148"/>
      <c r="H480" s="148"/>
      <c r="I480" s="148"/>
      <c r="J480" s="148"/>
      <c r="K480" s="148"/>
      <c r="L480" s="148"/>
      <c r="M480" s="148"/>
      <c r="N480" s="148"/>
      <c r="O480" s="148"/>
      <c r="P480" s="148"/>
      <c r="Q480" s="148"/>
      <c r="R480" s="148"/>
      <c r="S480" s="148"/>
      <c r="T480" s="148"/>
      <c r="U480" s="148"/>
      <c r="V480" s="148"/>
      <c r="W480" s="14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  <c r="BI480" s="148"/>
      <c r="BJ480" s="148"/>
      <c r="BK480" s="148"/>
      <c r="BL480" s="148"/>
    </row>
    <row r="481" spans="1:64" x14ac:dyDescent="0.2">
      <c r="A481" s="148"/>
      <c r="B481" s="148"/>
      <c r="C481" s="148"/>
      <c r="D481" s="148"/>
      <c r="E481" s="148"/>
      <c r="F481" s="148"/>
      <c r="G481" s="148"/>
      <c r="H481" s="148"/>
      <c r="I481" s="148"/>
      <c r="J481" s="148"/>
      <c r="K481" s="148"/>
      <c r="L481" s="148"/>
      <c r="M481" s="148"/>
      <c r="N481" s="148"/>
      <c r="O481" s="148"/>
      <c r="P481" s="148"/>
      <c r="Q481" s="148"/>
      <c r="R481" s="148"/>
      <c r="S481" s="148"/>
      <c r="T481" s="148"/>
      <c r="U481" s="148"/>
      <c r="V481" s="148"/>
      <c r="W481" s="14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  <c r="BI481" s="148"/>
      <c r="BJ481" s="148"/>
      <c r="BK481" s="148"/>
      <c r="BL481" s="148"/>
    </row>
    <row r="482" spans="1:64" x14ac:dyDescent="0.2">
      <c r="A482" s="148"/>
      <c r="B482" s="148"/>
      <c r="C482" s="148"/>
      <c r="D482" s="148"/>
      <c r="E482" s="148"/>
      <c r="F482" s="148"/>
      <c r="G482" s="148"/>
      <c r="H482" s="148"/>
      <c r="I482" s="148"/>
      <c r="J482" s="148"/>
      <c r="K482" s="148"/>
      <c r="L482" s="148"/>
      <c r="M482" s="148"/>
      <c r="N482" s="148"/>
      <c r="O482" s="148"/>
      <c r="P482" s="148"/>
      <c r="Q482" s="148"/>
      <c r="R482" s="148"/>
      <c r="S482" s="148"/>
      <c r="T482" s="148"/>
      <c r="U482" s="148"/>
      <c r="V482" s="148"/>
      <c r="W482" s="14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  <c r="BI482" s="148"/>
      <c r="BJ482" s="148"/>
      <c r="BK482" s="148"/>
      <c r="BL482" s="148"/>
    </row>
    <row r="483" spans="1:64" x14ac:dyDescent="0.2">
      <c r="A483" s="148"/>
      <c r="B483" s="148"/>
      <c r="C483" s="148"/>
      <c r="D483" s="148"/>
      <c r="E483" s="148"/>
      <c r="F483" s="148"/>
      <c r="G483" s="148"/>
      <c r="H483" s="148"/>
      <c r="I483" s="148"/>
      <c r="J483" s="148"/>
      <c r="K483" s="148"/>
      <c r="L483" s="148"/>
      <c r="M483" s="148"/>
      <c r="N483" s="148"/>
      <c r="O483" s="148"/>
      <c r="P483" s="148"/>
      <c r="Q483" s="148"/>
      <c r="R483" s="148"/>
      <c r="S483" s="148"/>
      <c r="T483" s="148"/>
      <c r="U483" s="148"/>
      <c r="V483" s="148"/>
      <c r="W483" s="148"/>
      <c r="X483" s="148"/>
      <c r="Y483" s="148"/>
      <c r="Z483" s="148"/>
      <c r="AA483" s="148"/>
      <c r="AB483" s="148"/>
      <c r="AC483" s="148"/>
      <c r="AD483" s="148"/>
      <c r="AE483" s="148"/>
      <c r="AF483" s="148"/>
      <c r="AG483" s="148"/>
      <c r="AH483" s="148"/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  <c r="BI483" s="148"/>
      <c r="BJ483" s="148"/>
      <c r="BK483" s="148"/>
      <c r="BL483" s="148"/>
    </row>
    <row r="484" spans="1:64" x14ac:dyDescent="0.2">
      <c r="A484" s="148"/>
      <c r="B484" s="148"/>
      <c r="C484" s="148"/>
      <c r="D484" s="148"/>
      <c r="E484" s="148"/>
      <c r="F484" s="148"/>
      <c r="G484" s="148"/>
      <c r="H484" s="148"/>
      <c r="I484" s="148"/>
      <c r="J484" s="148"/>
      <c r="K484" s="148"/>
      <c r="L484" s="148"/>
      <c r="M484" s="148"/>
      <c r="N484" s="148"/>
      <c r="O484" s="148"/>
      <c r="P484" s="148"/>
      <c r="Q484" s="148"/>
      <c r="R484" s="148"/>
      <c r="S484" s="148"/>
      <c r="T484" s="148"/>
      <c r="U484" s="148"/>
      <c r="V484" s="148"/>
      <c r="W484" s="14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  <c r="BI484" s="148"/>
      <c r="BJ484" s="148"/>
      <c r="BK484" s="148"/>
      <c r="BL484" s="148"/>
    </row>
    <row r="485" spans="1:64" x14ac:dyDescent="0.2">
      <c r="A485" s="148"/>
      <c r="B485" s="148"/>
      <c r="C485" s="148"/>
      <c r="D485" s="148"/>
      <c r="E485" s="148"/>
      <c r="F485" s="148"/>
      <c r="G485" s="148"/>
      <c r="H485" s="148"/>
      <c r="I485" s="148"/>
      <c r="J485" s="148"/>
      <c r="K485" s="148"/>
      <c r="L485" s="148"/>
      <c r="M485" s="148"/>
      <c r="N485" s="148"/>
      <c r="O485" s="148"/>
      <c r="P485" s="148"/>
      <c r="Q485" s="148"/>
      <c r="R485" s="148"/>
      <c r="S485" s="148"/>
      <c r="T485" s="148"/>
      <c r="U485" s="148"/>
      <c r="V485" s="148"/>
      <c r="W485" s="14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  <c r="BI485" s="148"/>
      <c r="BJ485" s="148"/>
      <c r="BK485" s="148"/>
      <c r="BL485" s="148"/>
    </row>
    <row r="486" spans="1:64" x14ac:dyDescent="0.2">
      <c r="A486" s="148"/>
      <c r="B486" s="148"/>
      <c r="C486" s="148"/>
      <c r="D486" s="148"/>
      <c r="E486" s="148"/>
      <c r="F486" s="148"/>
      <c r="G486" s="148"/>
      <c r="H486" s="148"/>
      <c r="I486" s="148"/>
      <c r="J486" s="148"/>
      <c r="K486" s="148"/>
      <c r="L486" s="148"/>
      <c r="M486" s="148"/>
      <c r="N486" s="148"/>
      <c r="O486" s="148"/>
      <c r="P486" s="148"/>
      <c r="Q486" s="148"/>
      <c r="R486" s="148"/>
      <c r="S486" s="148"/>
      <c r="T486" s="148"/>
      <c r="U486" s="148"/>
      <c r="V486" s="148"/>
      <c r="W486" s="14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/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  <c r="BI486" s="148"/>
      <c r="BJ486" s="148"/>
      <c r="BK486" s="148"/>
      <c r="BL486" s="148"/>
    </row>
    <row r="487" spans="1:64" x14ac:dyDescent="0.2">
      <c r="A487" s="148"/>
      <c r="B487" s="148"/>
      <c r="C487" s="148"/>
      <c r="D487" s="148"/>
      <c r="E487" s="148"/>
      <c r="F487" s="148"/>
      <c r="G487" s="148"/>
      <c r="H487" s="148"/>
      <c r="I487" s="148"/>
      <c r="J487" s="148"/>
      <c r="K487" s="148"/>
      <c r="L487" s="148"/>
      <c r="M487" s="148"/>
      <c r="N487" s="148"/>
      <c r="O487" s="148"/>
      <c r="P487" s="148"/>
      <c r="Q487" s="148"/>
      <c r="R487" s="148"/>
      <c r="S487" s="148"/>
      <c r="T487" s="148"/>
      <c r="U487" s="148"/>
      <c r="V487" s="148"/>
      <c r="W487" s="14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  <c r="BI487" s="148"/>
      <c r="BJ487" s="148"/>
      <c r="BK487" s="148"/>
      <c r="BL487" s="148"/>
    </row>
    <row r="488" spans="1:64" x14ac:dyDescent="0.2">
      <c r="A488" s="148"/>
      <c r="B488" s="148"/>
      <c r="C488" s="148"/>
      <c r="D488" s="148"/>
      <c r="E488" s="148"/>
      <c r="F488" s="148"/>
      <c r="G488" s="148"/>
      <c r="H488" s="148"/>
      <c r="I488" s="148"/>
      <c r="J488" s="148"/>
      <c r="K488" s="148"/>
      <c r="L488" s="148"/>
      <c r="M488" s="148"/>
      <c r="N488" s="148"/>
      <c r="O488" s="148"/>
      <c r="P488" s="148"/>
      <c r="Q488" s="148"/>
      <c r="R488" s="148"/>
      <c r="S488" s="148"/>
      <c r="T488" s="148"/>
      <c r="U488" s="148"/>
      <c r="V488" s="148"/>
      <c r="W488" s="14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  <c r="BI488" s="148"/>
      <c r="BJ488" s="148"/>
      <c r="BK488" s="148"/>
      <c r="BL488" s="148"/>
    </row>
    <row r="489" spans="1:64" x14ac:dyDescent="0.2">
      <c r="A489" s="148"/>
      <c r="B489" s="148"/>
      <c r="C489" s="148"/>
      <c r="D489" s="148"/>
      <c r="E489" s="148"/>
      <c r="F489" s="148"/>
      <c r="G489" s="148"/>
      <c r="H489" s="148"/>
      <c r="I489" s="148"/>
      <c r="J489" s="148"/>
      <c r="K489" s="148"/>
      <c r="L489" s="148"/>
      <c r="M489" s="148"/>
      <c r="N489" s="148"/>
      <c r="O489" s="148"/>
      <c r="P489" s="148"/>
      <c r="Q489" s="148"/>
      <c r="R489" s="148"/>
      <c r="S489" s="148"/>
      <c r="T489" s="148"/>
      <c r="U489" s="148"/>
      <c r="V489" s="148"/>
      <c r="W489" s="14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48"/>
      <c r="BJ489" s="148"/>
      <c r="BK489" s="148"/>
      <c r="BL489" s="148"/>
    </row>
    <row r="490" spans="1:64" x14ac:dyDescent="0.2">
      <c r="A490" s="148"/>
      <c r="B490" s="148"/>
      <c r="C490" s="148"/>
      <c r="D490" s="148"/>
      <c r="E490" s="148"/>
      <c r="F490" s="148"/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  <c r="Q490" s="148"/>
      <c r="R490" s="148"/>
      <c r="S490" s="148"/>
      <c r="T490" s="148"/>
      <c r="U490" s="148"/>
      <c r="V490" s="148"/>
      <c r="W490" s="14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/>
      <c r="AH490" s="148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  <c r="BI490" s="148"/>
      <c r="BJ490" s="148"/>
      <c r="BK490" s="148"/>
      <c r="BL490" s="148"/>
    </row>
    <row r="491" spans="1:64" x14ac:dyDescent="0.2">
      <c r="A491" s="148"/>
      <c r="B491" s="148"/>
      <c r="C491" s="148"/>
      <c r="D491" s="148"/>
      <c r="E491" s="148"/>
      <c r="F491" s="148"/>
      <c r="G491" s="148"/>
      <c r="H491" s="148"/>
      <c r="I491" s="148"/>
      <c r="J491" s="148"/>
      <c r="K491" s="148"/>
      <c r="L491" s="148"/>
      <c r="M491" s="148"/>
      <c r="N491" s="148"/>
      <c r="O491" s="148"/>
      <c r="P491" s="148"/>
      <c r="Q491" s="148"/>
      <c r="R491" s="148"/>
      <c r="S491" s="148"/>
      <c r="T491" s="148"/>
      <c r="U491" s="148"/>
      <c r="V491" s="148"/>
      <c r="W491" s="14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/>
      <c r="AH491" s="148"/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  <c r="BI491" s="148"/>
      <c r="BJ491" s="148"/>
      <c r="BK491" s="148"/>
      <c r="BL491" s="148"/>
    </row>
    <row r="492" spans="1:64" x14ac:dyDescent="0.2">
      <c r="A492" s="148"/>
      <c r="B492" s="148"/>
      <c r="C492" s="148"/>
      <c r="D492" s="148"/>
      <c r="E492" s="148"/>
      <c r="F492" s="148"/>
      <c r="G492" s="148"/>
      <c r="H492" s="148"/>
      <c r="I492" s="148"/>
      <c r="J492" s="148"/>
      <c r="K492" s="148"/>
      <c r="L492" s="148"/>
      <c r="M492" s="148"/>
      <c r="N492" s="148"/>
      <c r="O492" s="148"/>
      <c r="P492" s="148"/>
      <c r="Q492" s="148"/>
      <c r="R492" s="148"/>
      <c r="S492" s="148"/>
      <c r="T492" s="148"/>
      <c r="U492" s="148"/>
      <c r="V492" s="148"/>
      <c r="W492" s="14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/>
      <c r="AH492" s="148"/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  <c r="BI492" s="148"/>
      <c r="BJ492" s="148"/>
      <c r="BK492" s="148"/>
      <c r="BL492" s="148"/>
    </row>
    <row r="493" spans="1:64" x14ac:dyDescent="0.2">
      <c r="A493" s="148"/>
      <c r="B493" s="148"/>
      <c r="C493" s="148"/>
      <c r="D493" s="148"/>
      <c r="E493" s="148"/>
      <c r="F493" s="148"/>
      <c r="G493" s="148"/>
      <c r="H493" s="148"/>
      <c r="I493" s="148"/>
      <c r="J493" s="148"/>
      <c r="K493" s="148"/>
      <c r="L493" s="148"/>
      <c r="M493" s="148"/>
      <c r="N493" s="148"/>
      <c r="O493" s="148"/>
      <c r="P493" s="148"/>
      <c r="Q493" s="148"/>
      <c r="R493" s="148"/>
      <c r="S493" s="148"/>
      <c r="T493" s="148"/>
      <c r="U493" s="148"/>
      <c r="V493" s="148"/>
      <c r="W493" s="148"/>
      <c r="X493" s="148"/>
      <c r="Y493" s="148"/>
      <c r="Z493" s="148"/>
      <c r="AA493" s="148"/>
      <c r="AB493" s="148"/>
      <c r="AC493" s="148"/>
      <c r="AD493" s="148"/>
      <c r="AE493" s="148"/>
      <c r="AF493" s="148"/>
      <c r="AG493" s="148"/>
      <c r="AH493" s="148"/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  <c r="BI493" s="148"/>
      <c r="BJ493" s="148"/>
      <c r="BK493" s="148"/>
      <c r="BL493" s="148"/>
    </row>
    <row r="494" spans="1:64" x14ac:dyDescent="0.2">
      <c r="A494" s="148"/>
      <c r="B494" s="148"/>
      <c r="C494" s="148"/>
      <c r="D494" s="148"/>
      <c r="E494" s="148"/>
      <c r="F494" s="148"/>
      <c r="G494" s="148"/>
      <c r="H494" s="148"/>
      <c r="I494" s="148"/>
      <c r="J494" s="148"/>
      <c r="K494" s="148"/>
      <c r="L494" s="148"/>
      <c r="M494" s="148"/>
      <c r="N494" s="148"/>
      <c r="O494" s="148"/>
      <c r="P494" s="148"/>
      <c r="Q494" s="148"/>
      <c r="R494" s="148"/>
      <c r="S494" s="148"/>
      <c r="T494" s="148"/>
      <c r="U494" s="148"/>
      <c r="V494" s="148"/>
      <c r="W494" s="148"/>
      <c r="X494" s="148"/>
      <c r="Y494" s="148"/>
      <c r="Z494" s="148"/>
      <c r="AA494" s="148"/>
      <c r="AB494" s="148"/>
      <c r="AC494" s="148"/>
      <c r="AD494" s="148"/>
      <c r="AE494" s="148"/>
      <c r="AF494" s="148"/>
      <c r="AG494" s="148"/>
      <c r="AH494" s="148"/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  <c r="BI494" s="148"/>
      <c r="BJ494" s="148"/>
      <c r="BK494" s="148"/>
      <c r="BL494" s="148"/>
    </row>
    <row r="495" spans="1:64" x14ac:dyDescent="0.2">
      <c r="A495" s="148"/>
      <c r="B495" s="148"/>
      <c r="C495" s="148"/>
      <c r="D495" s="148"/>
      <c r="E495" s="148"/>
      <c r="F495" s="148"/>
      <c r="G495" s="148"/>
      <c r="H495" s="148"/>
      <c r="I495" s="148"/>
      <c r="J495" s="148"/>
      <c r="K495" s="148"/>
      <c r="L495" s="148"/>
      <c r="M495" s="148"/>
      <c r="N495" s="148"/>
      <c r="O495" s="148"/>
      <c r="P495" s="148"/>
      <c r="Q495" s="148"/>
      <c r="R495" s="148"/>
      <c r="S495" s="148"/>
      <c r="T495" s="148"/>
      <c r="U495" s="148"/>
      <c r="V495" s="148"/>
      <c r="W495" s="14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/>
      <c r="AH495" s="148"/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  <c r="BI495" s="148"/>
      <c r="BJ495" s="148"/>
      <c r="BK495" s="148"/>
      <c r="BL495" s="148"/>
    </row>
    <row r="496" spans="1:64" x14ac:dyDescent="0.2">
      <c r="A496" s="148"/>
      <c r="B496" s="148"/>
      <c r="C496" s="148"/>
      <c r="D496" s="148"/>
      <c r="E496" s="148"/>
      <c r="F496" s="148"/>
      <c r="G496" s="148"/>
      <c r="H496" s="148"/>
      <c r="I496" s="148"/>
      <c r="J496" s="148"/>
      <c r="K496" s="148"/>
      <c r="L496" s="148"/>
      <c r="M496" s="148"/>
      <c r="N496" s="148"/>
      <c r="O496" s="148"/>
      <c r="P496" s="148"/>
      <c r="Q496" s="148"/>
      <c r="R496" s="148"/>
      <c r="S496" s="148"/>
      <c r="T496" s="148"/>
      <c r="U496" s="148"/>
      <c r="V496" s="148"/>
      <c r="W496" s="148"/>
      <c r="X496" s="148"/>
      <c r="Y496" s="148"/>
      <c r="Z496" s="148"/>
      <c r="AA496" s="148"/>
      <c r="AB496" s="148"/>
      <c r="AC496" s="148"/>
      <c r="AD496" s="148"/>
      <c r="AE496" s="148"/>
      <c r="AF496" s="148"/>
      <c r="AG496" s="148"/>
      <c r="AH496" s="148"/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  <c r="BI496" s="148"/>
      <c r="BJ496" s="148"/>
      <c r="BK496" s="148"/>
      <c r="BL496" s="148"/>
    </row>
    <row r="497" spans="1:64" x14ac:dyDescent="0.2">
      <c r="A497" s="148"/>
      <c r="B497" s="148"/>
      <c r="C497" s="148"/>
      <c r="D497" s="148"/>
      <c r="E497" s="148"/>
      <c r="F497" s="148"/>
      <c r="G497" s="148"/>
      <c r="H497" s="148"/>
      <c r="I497" s="148"/>
      <c r="J497" s="148"/>
      <c r="K497" s="148"/>
      <c r="L497" s="148"/>
      <c r="M497" s="148"/>
      <c r="N497" s="148"/>
      <c r="O497" s="148"/>
      <c r="P497" s="148"/>
      <c r="Q497" s="148"/>
      <c r="R497" s="148"/>
      <c r="S497" s="148"/>
      <c r="T497" s="148"/>
      <c r="U497" s="148"/>
      <c r="V497" s="148"/>
      <c r="W497" s="148"/>
      <c r="X497" s="148"/>
      <c r="Y497" s="148"/>
      <c r="Z497" s="148"/>
      <c r="AA497" s="148"/>
      <c r="AB497" s="148"/>
      <c r="AC497" s="148"/>
      <c r="AD497" s="148"/>
      <c r="AE497" s="148"/>
      <c r="AF497" s="148"/>
      <c r="AG497" s="148"/>
      <c r="AH497" s="148"/>
      <c r="AI497" s="148"/>
      <c r="AJ497" s="148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H497" s="148"/>
      <c r="BI497" s="148"/>
      <c r="BJ497" s="148"/>
      <c r="BK497" s="148"/>
      <c r="BL497" s="148"/>
    </row>
    <row r="498" spans="1:64" x14ac:dyDescent="0.2">
      <c r="A498" s="148"/>
      <c r="B498" s="148"/>
      <c r="C498" s="148"/>
      <c r="D498" s="148"/>
      <c r="E498" s="148"/>
      <c r="F498" s="148"/>
      <c r="G498" s="148"/>
      <c r="H498" s="148"/>
      <c r="I498" s="148"/>
      <c r="J498" s="148"/>
      <c r="K498" s="148"/>
      <c r="L498" s="148"/>
      <c r="M498" s="148"/>
      <c r="N498" s="148"/>
      <c r="O498" s="148"/>
      <c r="P498" s="148"/>
      <c r="Q498" s="148"/>
      <c r="R498" s="148"/>
      <c r="S498" s="148"/>
      <c r="T498" s="148"/>
      <c r="U498" s="148"/>
      <c r="V498" s="148"/>
      <c r="W498" s="148"/>
      <c r="X498" s="148"/>
      <c r="Y498" s="148"/>
      <c r="Z498" s="148"/>
      <c r="AA498" s="148"/>
      <c r="AB498" s="148"/>
      <c r="AC498" s="148"/>
      <c r="AD498" s="148"/>
      <c r="AE498" s="148"/>
      <c r="AF498" s="148"/>
      <c r="AG498" s="148"/>
      <c r="AH498" s="148"/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  <c r="BI498" s="148"/>
      <c r="BJ498" s="148"/>
      <c r="BK498" s="148"/>
      <c r="BL498" s="148"/>
    </row>
    <row r="499" spans="1:64" x14ac:dyDescent="0.2">
      <c r="A499" s="148"/>
      <c r="B499" s="148"/>
      <c r="C499" s="148"/>
      <c r="D499" s="148"/>
      <c r="E499" s="148"/>
      <c r="F499" s="148"/>
      <c r="G499" s="148"/>
      <c r="H499" s="148"/>
      <c r="I499" s="148"/>
      <c r="J499" s="148"/>
      <c r="K499" s="148"/>
      <c r="L499" s="148"/>
      <c r="M499" s="148"/>
      <c r="N499" s="148"/>
      <c r="O499" s="148"/>
      <c r="P499" s="148"/>
      <c r="Q499" s="148"/>
      <c r="R499" s="148"/>
      <c r="S499" s="148"/>
      <c r="T499" s="148"/>
      <c r="U499" s="148"/>
      <c r="V499" s="148"/>
      <c r="W499" s="148"/>
      <c r="X499" s="148"/>
      <c r="Y499" s="148"/>
      <c r="Z499" s="148"/>
      <c r="AA499" s="148"/>
      <c r="AB499" s="148"/>
      <c r="AC499" s="148"/>
      <c r="AD499" s="148"/>
      <c r="AE499" s="148"/>
      <c r="AF499" s="148"/>
      <c r="AG499" s="148"/>
      <c r="AH499" s="148"/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  <c r="BI499" s="148"/>
      <c r="BJ499" s="148"/>
      <c r="BK499" s="148"/>
      <c r="BL499" s="148"/>
    </row>
    <row r="500" spans="1:64" x14ac:dyDescent="0.2">
      <c r="A500" s="148"/>
      <c r="B500" s="148"/>
      <c r="C500" s="148"/>
      <c r="D500" s="148"/>
      <c r="E500" s="148"/>
      <c r="F500" s="148"/>
      <c r="G500" s="148"/>
      <c r="H500" s="148"/>
      <c r="I500" s="148"/>
      <c r="J500" s="148"/>
      <c r="K500" s="148"/>
      <c r="L500" s="148"/>
      <c r="M500" s="148"/>
      <c r="N500" s="148"/>
      <c r="O500" s="148"/>
      <c r="P500" s="148"/>
      <c r="Q500" s="148"/>
      <c r="R500" s="148"/>
      <c r="S500" s="148"/>
      <c r="T500" s="148"/>
      <c r="U500" s="148"/>
      <c r="V500" s="148"/>
      <c r="W500" s="14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/>
      <c r="AH500" s="148"/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  <c r="BI500" s="148"/>
      <c r="BJ500" s="148"/>
      <c r="BK500" s="148"/>
      <c r="BL500" s="148"/>
    </row>
    <row r="501" spans="1:64" x14ac:dyDescent="0.2">
      <c r="A501" s="148"/>
      <c r="B501" s="148"/>
      <c r="C501" s="148"/>
      <c r="D501" s="148"/>
      <c r="E501" s="148"/>
      <c r="F501" s="148"/>
      <c r="G501" s="148"/>
      <c r="H501" s="148"/>
      <c r="I501" s="148"/>
      <c r="J501" s="148"/>
      <c r="K501" s="148"/>
      <c r="L501" s="148"/>
      <c r="M501" s="148"/>
      <c r="N501" s="148"/>
      <c r="O501" s="148"/>
      <c r="P501" s="148"/>
      <c r="Q501" s="148"/>
      <c r="R501" s="148"/>
      <c r="S501" s="148"/>
      <c r="T501" s="148"/>
      <c r="U501" s="148"/>
      <c r="V501" s="148"/>
      <c r="W501" s="148"/>
      <c r="X501" s="148"/>
      <c r="Y501" s="148"/>
      <c r="Z501" s="148"/>
      <c r="AA501" s="148"/>
      <c r="AB501" s="148"/>
      <c r="AC501" s="148"/>
      <c r="AD501" s="148"/>
      <c r="AE501" s="148"/>
      <c r="AF501" s="148"/>
      <c r="AG501" s="148"/>
      <c r="AH501" s="148"/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  <c r="BI501" s="148"/>
      <c r="BJ501" s="148"/>
      <c r="BK501" s="148"/>
      <c r="BL501" s="148"/>
    </row>
    <row r="502" spans="1:64" x14ac:dyDescent="0.2">
      <c r="A502" s="148"/>
      <c r="B502" s="148"/>
      <c r="C502" s="148"/>
      <c r="D502" s="148"/>
      <c r="E502" s="148"/>
      <c r="F502" s="148"/>
      <c r="G502" s="148"/>
      <c r="H502" s="148"/>
      <c r="I502" s="148"/>
      <c r="J502" s="148"/>
      <c r="K502" s="148"/>
      <c r="L502" s="148"/>
      <c r="M502" s="148"/>
      <c r="N502" s="148"/>
      <c r="O502" s="148"/>
      <c r="P502" s="148"/>
      <c r="Q502" s="148"/>
      <c r="R502" s="148"/>
      <c r="S502" s="148"/>
      <c r="T502" s="148"/>
      <c r="U502" s="148"/>
      <c r="V502" s="148"/>
      <c r="W502" s="148"/>
      <c r="X502" s="148"/>
      <c r="Y502" s="148"/>
      <c r="Z502" s="148"/>
      <c r="AA502" s="148"/>
      <c r="AB502" s="148"/>
      <c r="AC502" s="148"/>
      <c r="AD502" s="148"/>
      <c r="AE502" s="148"/>
      <c r="AF502" s="148"/>
      <c r="AG502" s="148"/>
      <c r="AH502" s="148"/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  <c r="BI502" s="148"/>
      <c r="BJ502" s="148"/>
      <c r="BK502" s="148"/>
      <c r="BL502" s="148"/>
    </row>
    <row r="503" spans="1:64" x14ac:dyDescent="0.2">
      <c r="A503" s="148"/>
      <c r="B503" s="148"/>
      <c r="C503" s="148"/>
      <c r="D503" s="148"/>
      <c r="E503" s="148"/>
      <c r="F503" s="148"/>
      <c r="G503" s="148"/>
      <c r="H503" s="148"/>
      <c r="I503" s="148"/>
      <c r="J503" s="148"/>
      <c r="K503" s="148"/>
      <c r="L503" s="148"/>
      <c r="M503" s="148"/>
      <c r="N503" s="148"/>
      <c r="O503" s="148"/>
      <c r="P503" s="148"/>
      <c r="Q503" s="148"/>
      <c r="R503" s="148"/>
      <c r="S503" s="148"/>
      <c r="T503" s="148"/>
      <c r="U503" s="148"/>
      <c r="V503" s="148"/>
      <c r="W503" s="148"/>
      <c r="X503" s="148"/>
      <c r="Y503" s="148"/>
      <c r="Z503" s="148"/>
      <c r="AA503" s="148"/>
      <c r="AB503" s="148"/>
      <c r="AC503" s="148"/>
      <c r="AD503" s="148"/>
      <c r="AE503" s="148"/>
      <c r="AF503" s="148"/>
      <c r="AG503" s="148"/>
      <c r="AH503" s="148"/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  <c r="BI503" s="148"/>
      <c r="BJ503" s="148"/>
      <c r="BK503" s="148"/>
      <c r="BL503" s="148"/>
    </row>
    <row r="504" spans="1:64" x14ac:dyDescent="0.2">
      <c r="A504" s="148"/>
      <c r="B504" s="148"/>
      <c r="C504" s="148"/>
      <c r="D504" s="148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48"/>
      <c r="R504" s="148"/>
      <c r="S504" s="148"/>
      <c r="T504" s="148"/>
      <c r="U504" s="148"/>
      <c r="V504" s="148"/>
      <c r="W504" s="148"/>
      <c r="X504" s="148"/>
      <c r="Y504" s="148"/>
      <c r="Z504" s="148"/>
      <c r="AA504" s="148"/>
      <c r="AB504" s="148"/>
      <c r="AC504" s="148"/>
      <c r="AD504" s="148"/>
      <c r="AE504" s="148"/>
      <c r="AF504" s="148"/>
      <c r="AG504" s="148"/>
      <c r="AH504" s="148"/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  <c r="BI504" s="148"/>
      <c r="BJ504" s="148"/>
      <c r="BK504" s="148"/>
      <c r="BL504" s="148"/>
    </row>
    <row r="505" spans="1:64" x14ac:dyDescent="0.2">
      <c r="A505" s="148"/>
      <c r="B505" s="148"/>
      <c r="C505" s="148"/>
      <c r="D505" s="148"/>
      <c r="E505" s="148"/>
      <c r="F505" s="148"/>
      <c r="G505" s="148"/>
      <c r="H505" s="148"/>
      <c r="I505" s="148"/>
      <c r="J505" s="148"/>
      <c r="K505" s="148"/>
      <c r="L505" s="148"/>
      <c r="M505" s="148"/>
      <c r="N505" s="148"/>
      <c r="O505" s="148"/>
      <c r="P505" s="148"/>
      <c r="Q505" s="148"/>
      <c r="R505" s="148"/>
      <c r="S505" s="148"/>
      <c r="T505" s="148"/>
      <c r="U505" s="148"/>
      <c r="V505" s="148"/>
      <c r="W505" s="148"/>
      <c r="X505" s="148"/>
      <c r="Y505" s="148"/>
      <c r="Z505" s="148"/>
      <c r="AA505" s="148"/>
      <c r="AB505" s="148"/>
      <c r="AC505" s="148"/>
      <c r="AD505" s="148"/>
      <c r="AE505" s="148"/>
      <c r="AF505" s="148"/>
      <c r="AG505" s="148"/>
      <c r="AH505" s="148"/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  <c r="BI505" s="148"/>
      <c r="BJ505" s="148"/>
      <c r="BK505" s="148"/>
      <c r="BL505" s="148"/>
    </row>
    <row r="506" spans="1:64" x14ac:dyDescent="0.2">
      <c r="A506" s="148"/>
      <c r="B506" s="148"/>
      <c r="C506" s="148"/>
      <c r="D506" s="148"/>
      <c r="E506" s="148"/>
      <c r="F506" s="148"/>
      <c r="G506" s="148"/>
      <c r="H506" s="148"/>
      <c r="I506" s="148"/>
      <c r="J506" s="148"/>
      <c r="K506" s="148"/>
      <c r="L506" s="148"/>
      <c r="M506" s="148"/>
      <c r="N506" s="148"/>
      <c r="O506" s="148"/>
      <c r="P506" s="148"/>
      <c r="Q506" s="148"/>
      <c r="R506" s="148"/>
      <c r="S506" s="148"/>
      <c r="T506" s="148"/>
      <c r="U506" s="148"/>
      <c r="V506" s="148"/>
      <c r="W506" s="148"/>
      <c r="X506" s="148"/>
      <c r="Y506" s="148"/>
      <c r="Z506" s="148"/>
      <c r="AA506" s="148"/>
      <c r="AB506" s="148"/>
      <c r="AC506" s="148"/>
      <c r="AD506" s="148"/>
      <c r="AE506" s="148"/>
      <c r="AF506" s="148"/>
      <c r="AG506" s="148"/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  <c r="BI506" s="148"/>
      <c r="BJ506" s="148"/>
      <c r="BK506" s="148"/>
      <c r="BL506" s="148"/>
    </row>
    <row r="507" spans="1:64" x14ac:dyDescent="0.2">
      <c r="A507" s="148"/>
      <c r="B507" s="148"/>
      <c r="C507" s="148"/>
      <c r="D507" s="148"/>
      <c r="E507" s="148"/>
      <c r="F507" s="148"/>
      <c r="G507" s="148"/>
      <c r="H507" s="148"/>
      <c r="I507" s="148"/>
      <c r="J507" s="148"/>
      <c r="K507" s="148"/>
      <c r="L507" s="148"/>
      <c r="M507" s="148"/>
      <c r="N507" s="148"/>
      <c r="O507" s="148"/>
      <c r="P507" s="148"/>
      <c r="Q507" s="148"/>
      <c r="R507" s="148"/>
      <c r="S507" s="148"/>
      <c r="T507" s="148"/>
      <c r="U507" s="148"/>
      <c r="V507" s="148"/>
      <c r="W507" s="148"/>
      <c r="X507" s="148"/>
      <c r="Y507" s="148"/>
      <c r="Z507" s="148"/>
      <c r="AA507" s="148"/>
      <c r="AB507" s="148"/>
      <c r="AC507" s="148"/>
      <c r="AD507" s="148"/>
      <c r="AE507" s="148"/>
      <c r="AF507" s="148"/>
      <c r="AG507" s="148"/>
      <c r="AH507" s="148"/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  <c r="BI507" s="148"/>
      <c r="BJ507" s="148"/>
      <c r="BK507" s="148"/>
      <c r="BL507" s="148"/>
    </row>
    <row r="508" spans="1:64" x14ac:dyDescent="0.2">
      <c r="A508" s="148"/>
      <c r="B508" s="148"/>
      <c r="C508" s="148"/>
      <c r="D508" s="148"/>
      <c r="E508" s="148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148"/>
      <c r="R508" s="148"/>
      <c r="S508" s="148"/>
      <c r="T508" s="148"/>
      <c r="U508" s="148"/>
      <c r="V508" s="148"/>
      <c r="W508" s="148"/>
      <c r="X508" s="148"/>
      <c r="Y508" s="148"/>
      <c r="Z508" s="148"/>
      <c r="AA508" s="148"/>
      <c r="AB508" s="148"/>
      <c r="AC508" s="148"/>
      <c r="AD508" s="148"/>
      <c r="AE508" s="148"/>
      <c r="AF508" s="148"/>
      <c r="AG508" s="148"/>
      <c r="AH508" s="148"/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  <c r="BI508" s="148"/>
      <c r="BJ508" s="148"/>
      <c r="BK508" s="148"/>
      <c r="BL508" s="148"/>
    </row>
    <row r="509" spans="1:64" x14ac:dyDescent="0.2">
      <c r="A509" s="148"/>
      <c r="B509" s="148"/>
      <c r="C509" s="148"/>
      <c r="D509" s="148"/>
      <c r="E509" s="148"/>
      <c r="F509" s="148"/>
      <c r="G509" s="148"/>
      <c r="H509" s="148"/>
      <c r="I509" s="148"/>
      <c r="J509" s="148"/>
      <c r="K509" s="148"/>
      <c r="L509" s="148"/>
      <c r="M509" s="148"/>
      <c r="N509" s="148"/>
      <c r="O509" s="148"/>
      <c r="P509" s="148"/>
      <c r="Q509" s="148"/>
      <c r="R509" s="148"/>
      <c r="S509" s="148"/>
      <c r="T509" s="148"/>
      <c r="U509" s="148"/>
      <c r="V509" s="148"/>
      <c r="W509" s="14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/>
      <c r="AH509" s="148"/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  <c r="BI509" s="148"/>
      <c r="BJ509" s="148"/>
      <c r="BK509" s="148"/>
      <c r="BL509" s="148"/>
    </row>
    <row r="510" spans="1:64" x14ac:dyDescent="0.2">
      <c r="A510" s="148"/>
      <c r="B510" s="148"/>
      <c r="C510" s="148"/>
      <c r="D510" s="148"/>
      <c r="E510" s="148"/>
      <c r="F510" s="148"/>
      <c r="G510" s="148"/>
      <c r="H510" s="148"/>
      <c r="I510" s="148"/>
      <c r="J510" s="148"/>
      <c r="K510" s="148"/>
      <c r="L510" s="148"/>
      <c r="M510" s="148"/>
      <c r="N510" s="148"/>
      <c r="O510" s="148"/>
      <c r="P510" s="148"/>
      <c r="Q510" s="148"/>
      <c r="R510" s="148"/>
      <c r="S510" s="148"/>
      <c r="T510" s="148"/>
      <c r="U510" s="148"/>
      <c r="V510" s="148"/>
      <c r="W510" s="14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  <c r="BI510" s="148"/>
      <c r="BJ510" s="148"/>
      <c r="BK510" s="148"/>
      <c r="BL510" s="148"/>
    </row>
    <row r="511" spans="1:64" x14ac:dyDescent="0.2">
      <c r="A511" s="148"/>
      <c r="B511" s="148"/>
      <c r="C511" s="148"/>
      <c r="D511" s="148"/>
      <c r="E511" s="148"/>
      <c r="F511" s="148"/>
      <c r="G511" s="148"/>
      <c r="H511" s="148"/>
      <c r="I511" s="148"/>
      <c r="J511" s="148"/>
      <c r="K511" s="148"/>
      <c r="L511" s="148"/>
      <c r="M511" s="148"/>
      <c r="N511" s="148"/>
      <c r="O511" s="148"/>
      <c r="P511" s="148"/>
      <c r="Q511" s="148"/>
      <c r="R511" s="148"/>
      <c r="S511" s="148"/>
      <c r="T511" s="148"/>
      <c r="U511" s="148"/>
      <c r="V511" s="148"/>
      <c r="W511" s="14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  <c r="BI511" s="148"/>
      <c r="BJ511" s="148"/>
      <c r="BK511" s="148"/>
      <c r="BL511" s="148"/>
    </row>
    <row r="512" spans="1:64" x14ac:dyDescent="0.2">
      <c r="A512" s="148"/>
      <c r="B512" s="148"/>
      <c r="C512" s="148"/>
      <c r="D512" s="148"/>
      <c r="E512" s="148"/>
      <c r="F512" s="148"/>
      <c r="G512" s="148"/>
      <c r="H512" s="148"/>
      <c r="I512" s="148"/>
      <c r="J512" s="148"/>
      <c r="K512" s="148"/>
      <c r="L512" s="148"/>
      <c r="M512" s="148"/>
      <c r="N512" s="148"/>
      <c r="O512" s="148"/>
      <c r="P512" s="148"/>
      <c r="Q512" s="148"/>
      <c r="R512" s="148"/>
      <c r="S512" s="148"/>
      <c r="T512" s="148"/>
      <c r="U512" s="148"/>
      <c r="V512" s="148"/>
      <c r="W512" s="14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/>
      <c r="AH512" s="148"/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  <c r="BI512" s="148"/>
      <c r="BJ512" s="148"/>
      <c r="BK512" s="148"/>
      <c r="BL512" s="148"/>
    </row>
    <row r="513" spans="1:64" x14ac:dyDescent="0.2">
      <c r="A513" s="148"/>
      <c r="B513" s="148"/>
      <c r="C513" s="148"/>
      <c r="D513" s="148"/>
      <c r="E513" s="148"/>
      <c r="F513" s="148"/>
      <c r="G513" s="148"/>
      <c r="H513" s="148"/>
      <c r="I513" s="148"/>
      <c r="J513" s="148"/>
      <c r="K513" s="148"/>
      <c r="L513" s="148"/>
      <c r="M513" s="148"/>
      <c r="N513" s="148"/>
      <c r="O513" s="148"/>
      <c r="P513" s="148"/>
      <c r="Q513" s="148"/>
      <c r="R513" s="148"/>
      <c r="S513" s="148"/>
      <c r="T513" s="148"/>
      <c r="U513" s="148"/>
      <c r="V513" s="148"/>
      <c r="W513" s="14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  <c r="BI513" s="148"/>
      <c r="BJ513" s="148"/>
      <c r="BK513" s="148"/>
      <c r="BL513" s="148"/>
    </row>
    <row r="514" spans="1:64" x14ac:dyDescent="0.2">
      <c r="A514" s="148"/>
      <c r="B514" s="148"/>
      <c r="C514" s="148"/>
      <c r="D514" s="148"/>
      <c r="E514" s="148"/>
      <c r="F514" s="148"/>
      <c r="G514" s="148"/>
      <c r="H514" s="148"/>
      <c r="I514" s="148"/>
      <c r="J514" s="148"/>
      <c r="K514" s="148"/>
      <c r="L514" s="148"/>
      <c r="M514" s="148"/>
      <c r="N514" s="148"/>
      <c r="O514" s="148"/>
      <c r="P514" s="148"/>
      <c r="Q514" s="148"/>
      <c r="R514" s="148"/>
      <c r="S514" s="148"/>
      <c r="T514" s="148"/>
      <c r="U514" s="148"/>
      <c r="V514" s="148"/>
      <c r="W514" s="14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/>
      <c r="AH514" s="148"/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  <c r="BI514" s="148"/>
      <c r="BJ514" s="148"/>
      <c r="BK514" s="148"/>
      <c r="BL514" s="148"/>
    </row>
    <row r="515" spans="1:64" x14ac:dyDescent="0.2">
      <c r="A515" s="148"/>
      <c r="B515" s="148"/>
      <c r="C515" s="148"/>
      <c r="D515" s="148"/>
      <c r="E515" s="148"/>
      <c r="F515" s="148"/>
      <c r="G515" s="148"/>
      <c r="H515" s="148"/>
      <c r="I515" s="148"/>
      <c r="J515" s="148"/>
      <c r="K515" s="148"/>
      <c r="L515" s="148"/>
      <c r="M515" s="148"/>
      <c r="N515" s="148"/>
      <c r="O515" s="148"/>
      <c r="P515" s="148"/>
      <c r="Q515" s="148"/>
      <c r="R515" s="148"/>
      <c r="S515" s="148"/>
      <c r="T515" s="148"/>
      <c r="U515" s="148"/>
      <c r="V515" s="148"/>
      <c r="W515" s="14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/>
      <c r="AH515" s="148"/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  <c r="BI515" s="148"/>
      <c r="BJ515" s="148"/>
      <c r="BK515" s="148"/>
      <c r="BL515" s="148"/>
    </row>
    <row r="516" spans="1:64" x14ac:dyDescent="0.2">
      <c r="A516" s="148"/>
      <c r="B516" s="148"/>
      <c r="C516" s="148"/>
      <c r="D516" s="148"/>
      <c r="E516" s="148"/>
      <c r="F516" s="148"/>
      <c r="G516" s="148"/>
      <c r="H516" s="148"/>
      <c r="I516" s="148"/>
      <c r="J516" s="148"/>
      <c r="K516" s="148"/>
      <c r="L516" s="148"/>
      <c r="M516" s="148"/>
      <c r="N516" s="148"/>
      <c r="O516" s="148"/>
      <c r="P516" s="148"/>
      <c r="Q516" s="148"/>
      <c r="R516" s="148"/>
      <c r="S516" s="148"/>
      <c r="T516" s="148"/>
      <c r="U516" s="148"/>
      <c r="V516" s="148"/>
      <c r="W516" s="14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/>
      <c r="AH516" s="148"/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  <c r="BI516" s="148"/>
      <c r="BJ516" s="148"/>
      <c r="BK516" s="148"/>
      <c r="BL516" s="148"/>
    </row>
    <row r="517" spans="1:64" x14ac:dyDescent="0.2">
      <c r="A517" s="148"/>
      <c r="B517" s="148"/>
      <c r="C517" s="148"/>
      <c r="D517" s="148"/>
      <c r="E517" s="148"/>
      <c r="F517" s="148"/>
      <c r="G517" s="148"/>
      <c r="H517" s="148"/>
      <c r="I517" s="148"/>
      <c r="J517" s="148"/>
      <c r="K517" s="148"/>
      <c r="L517" s="148"/>
      <c r="M517" s="148"/>
      <c r="N517" s="148"/>
      <c r="O517" s="148"/>
      <c r="P517" s="148"/>
      <c r="Q517" s="148"/>
      <c r="R517" s="148"/>
      <c r="S517" s="148"/>
      <c r="T517" s="148"/>
      <c r="U517" s="148"/>
      <c r="V517" s="148"/>
      <c r="W517" s="14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  <c r="BI517" s="148"/>
      <c r="BJ517" s="148"/>
      <c r="BK517" s="148"/>
      <c r="BL517" s="148"/>
    </row>
    <row r="518" spans="1:64" x14ac:dyDescent="0.2">
      <c r="A518" s="148"/>
      <c r="B518" s="148"/>
      <c r="C518" s="148"/>
      <c r="D518" s="148"/>
      <c r="E518" s="148"/>
      <c r="F518" s="148"/>
      <c r="G518" s="148"/>
      <c r="H518" s="148"/>
      <c r="I518" s="148"/>
      <c r="J518" s="148"/>
      <c r="K518" s="148"/>
      <c r="L518" s="148"/>
      <c r="M518" s="148"/>
      <c r="N518" s="148"/>
      <c r="O518" s="148"/>
      <c r="P518" s="148"/>
      <c r="Q518" s="148"/>
      <c r="R518" s="148"/>
      <c r="S518" s="148"/>
      <c r="T518" s="148"/>
      <c r="U518" s="148"/>
      <c r="V518" s="148"/>
      <c r="W518" s="14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  <c r="BI518" s="148"/>
      <c r="BJ518" s="148"/>
      <c r="BK518" s="148"/>
      <c r="BL518" s="148"/>
    </row>
    <row r="519" spans="1:64" x14ac:dyDescent="0.2">
      <c r="A519" s="148"/>
      <c r="B519" s="148"/>
      <c r="C519" s="148"/>
      <c r="D519" s="148"/>
      <c r="E519" s="148"/>
      <c r="F519" s="148"/>
      <c r="G519" s="148"/>
      <c r="H519" s="148"/>
      <c r="I519" s="148"/>
      <c r="J519" s="148"/>
      <c r="K519" s="148"/>
      <c r="L519" s="148"/>
      <c r="M519" s="148"/>
      <c r="N519" s="148"/>
      <c r="O519" s="148"/>
      <c r="P519" s="148"/>
      <c r="Q519" s="148"/>
      <c r="R519" s="148"/>
      <c r="S519" s="148"/>
      <c r="T519" s="148"/>
      <c r="U519" s="148"/>
      <c r="V519" s="148"/>
      <c r="W519" s="14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  <c r="BI519" s="148"/>
      <c r="BJ519" s="148"/>
      <c r="BK519" s="148"/>
      <c r="BL519" s="148"/>
    </row>
    <row r="520" spans="1:64" x14ac:dyDescent="0.2">
      <c r="A520" s="148"/>
      <c r="B520" s="148"/>
      <c r="C520" s="148"/>
      <c r="D520" s="148"/>
      <c r="E520" s="148"/>
      <c r="F520" s="148"/>
      <c r="G520" s="148"/>
      <c r="H520" s="148"/>
      <c r="I520" s="148"/>
      <c r="J520" s="148"/>
      <c r="K520" s="148"/>
      <c r="L520" s="148"/>
      <c r="M520" s="148"/>
      <c r="N520" s="148"/>
      <c r="O520" s="148"/>
      <c r="P520" s="148"/>
      <c r="Q520" s="148"/>
      <c r="R520" s="148"/>
      <c r="S520" s="148"/>
      <c r="T520" s="148"/>
      <c r="U520" s="148"/>
      <c r="V520" s="148"/>
      <c r="W520" s="148"/>
      <c r="X520" s="148"/>
      <c r="Y520" s="148"/>
      <c r="Z520" s="148"/>
      <c r="AA520" s="148"/>
      <c r="AB520" s="148"/>
      <c r="AC520" s="148"/>
      <c r="AD520" s="148"/>
      <c r="AE520" s="148"/>
      <c r="AF520" s="148"/>
      <c r="AG520" s="148"/>
      <c r="AH520" s="148"/>
      <c r="AI520" s="148"/>
      <c r="AJ520" s="148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  <c r="BI520" s="148"/>
      <c r="BJ520" s="148"/>
      <c r="BK520" s="148"/>
      <c r="BL520" s="148"/>
    </row>
    <row r="521" spans="1:64" x14ac:dyDescent="0.2">
      <c r="A521" s="148"/>
      <c r="B521" s="148"/>
      <c r="C521" s="148"/>
      <c r="D521" s="148"/>
      <c r="E521" s="148"/>
      <c r="F521" s="148"/>
      <c r="G521" s="148"/>
      <c r="H521" s="148"/>
      <c r="I521" s="148"/>
      <c r="J521" s="148"/>
      <c r="K521" s="148"/>
      <c r="L521" s="148"/>
      <c r="M521" s="148"/>
      <c r="N521" s="148"/>
      <c r="O521" s="148"/>
      <c r="P521" s="148"/>
      <c r="Q521" s="148"/>
      <c r="R521" s="148"/>
      <c r="S521" s="148"/>
      <c r="T521" s="148"/>
      <c r="U521" s="148"/>
      <c r="V521" s="148"/>
      <c r="W521" s="14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/>
      <c r="AH521" s="148"/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  <c r="BI521" s="148"/>
      <c r="BJ521" s="148"/>
      <c r="BK521" s="148"/>
      <c r="BL521" s="148"/>
    </row>
    <row r="522" spans="1:64" x14ac:dyDescent="0.2">
      <c r="A522" s="148"/>
      <c r="B522" s="148"/>
      <c r="C522" s="148"/>
      <c r="D522" s="148"/>
      <c r="E522" s="148"/>
      <c r="F522" s="148"/>
      <c r="G522" s="148"/>
      <c r="H522" s="148"/>
      <c r="I522" s="148"/>
      <c r="J522" s="148"/>
      <c r="K522" s="148"/>
      <c r="L522" s="148"/>
      <c r="M522" s="148"/>
      <c r="N522" s="148"/>
      <c r="O522" s="148"/>
      <c r="P522" s="148"/>
      <c r="Q522" s="148"/>
      <c r="R522" s="148"/>
      <c r="S522" s="148"/>
      <c r="T522" s="148"/>
      <c r="U522" s="148"/>
      <c r="V522" s="148"/>
      <c r="W522" s="14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/>
      <c r="AH522" s="148"/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  <c r="BI522" s="148"/>
      <c r="BJ522" s="148"/>
      <c r="BK522" s="148"/>
      <c r="BL522" s="148"/>
    </row>
    <row r="523" spans="1:64" x14ac:dyDescent="0.2">
      <c r="A523" s="148"/>
      <c r="B523" s="148"/>
      <c r="C523" s="148"/>
      <c r="D523" s="148"/>
      <c r="E523" s="148"/>
      <c r="F523" s="148"/>
      <c r="G523" s="148"/>
      <c r="H523" s="148"/>
      <c r="I523" s="148"/>
      <c r="J523" s="148"/>
      <c r="K523" s="148"/>
      <c r="L523" s="148"/>
      <c r="M523" s="148"/>
      <c r="N523" s="148"/>
      <c r="O523" s="148"/>
      <c r="P523" s="148"/>
      <c r="Q523" s="148"/>
      <c r="R523" s="148"/>
      <c r="S523" s="148"/>
      <c r="T523" s="148"/>
      <c r="U523" s="148"/>
      <c r="V523" s="148"/>
      <c r="W523" s="148"/>
      <c r="X523" s="148"/>
      <c r="Y523" s="148"/>
      <c r="Z523" s="148"/>
      <c r="AA523" s="148"/>
      <c r="AB523" s="148"/>
      <c r="AC523" s="148"/>
      <c r="AD523" s="148"/>
      <c r="AE523" s="148"/>
      <c r="AF523" s="148"/>
      <c r="AG523" s="148"/>
      <c r="AH523" s="148"/>
      <c r="AI523" s="148"/>
      <c r="AJ523" s="148"/>
      <c r="AK523" s="148"/>
      <c r="AL523" s="148"/>
      <c r="AM523" s="148"/>
      <c r="AN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  <c r="BI523" s="148"/>
      <c r="BJ523" s="148"/>
      <c r="BK523" s="148"/>
      <c r="BL523" s="148"/>
    </row>
    <row r="524" spans="1:64" x14ac:dyDescent="0.2">
      <c r="A524" s="148"/>
      <c r="B524" s="148"/>
      <c r="C524" s="148"/>
      <c r="D524" s="148"/>
      <c r="E524" s="148"/>
      <c r="F524" s="148"/>
      <c r="G524" s="148"/>
      <c r="H524" s="148"/>
      <c r="I524" s="148"/>
      <c r="J524" s="148"/>
      <c r="K524" s="148"/>
      <c r="L524" s="148"/>
      <c r="M524" s="148"/>
      <c r="N524" s="148"/>
      <c r="O524" s="148"/>
      <c r="P524" s="148"/>
      <c r="Q524" s="148"/>
      <c r="R524" s="148"/>
      <c r="S524" s="148"/>
      <c r="T524" s="148"/>
      <c r="U524" s="148"/>
      <c r="V524" s="148"/>
      <c r="W524" s="14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/>
      <c r="AH524" s="148"/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  <c r="BI524" s="148"/>
      <c r="BJ524" s="148"/>
      <c r="BK524" s="148"/>
      <c r="BL524" s="148"/>
    </row>
    <row r="525" spans="1:64" x14ac:dyDescent="0.2">
      <c r="A525" s="148"/>
      <c r="B525" s="148"/>
      <c r="C525" s="148"/>
      <c r="D525" s="148"/>
      <c r="E525" s="148"/>
      <c r="F525" s="148"/>
      <c r="G525" s="148"/>
      <c r="H525" s="148"/>
      <c r="I525" s="148"/>
      <c r="J525" s="148"/>
      <c r="K525" s="148"/>
      <c r="L525" s="148"/>
      <c r="M525" s="148"/>
      <c r="N525" s="148"/>
      <c r="O525" s="148"/>
      <c r="P525" s="148"/>
      <c r="Q525" s="148"/>
      <c r="R525" s="148"/>
      <c r="S525" s="148"/>
      <c r="T525" s="148"/>
      <c r="U525" s="148"/>
      <c r="V525" s="148"/>
      <c r="W525" s="14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/>
      <c r="AH525" s="148"/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  <c r="BI525" s="148"/>
      <c r="BJ525" s="148"/>
      <c r="BK525" s="148"/>
      <c r="BL525" s="148"/>
    </row>
    <row r="526" spans="1:64" x14ac:dyDescent="0.2">
      <c r="A526" s="148"/>
      <c r="B526" s="148"/>
      <c r="C526" s="148"/>
      <c r="D526" s="148"/>
      <c r="E526" s="148"/>
      <c r="F526" s="148"/>
      <c r="G526" s="148"/>
      <c r="H526" s="148"/>
      <c r="I526" s="148"/>
      <c r="J526" s="148"/>
      <c r="K526" s="148"/>
      <c r="L526" s="148"/>
      <c r="M526" s="148"/>
      <c r="N526" s="148"/>
      <c r="O526" s="148"/>
      <c r="P526" s="148"/>
      <c r="Q526" s="148"/>
      <c r="R526" s="148"/>
      <c r="S526" s="148"/>
      <c r="T526" s="148"/>
      <c r="U526" s="148"/>
      <c r="V526" s="148"/>
      <c r="W526" s="148"/>
      <c r="X526" s="148"/>
      <c r="Y526" s="148"/>
      <c r="Z526" s="148"/>
      <c r="AA526" s="148"/>
      <c r="AB526" s="148"/>
      <c r="AC526" s="148"/>
      <c r="AD526" s="148"/>
      <c r="AE526" s="148"/>
      <c r="AF526" s="148"/>
      <c r="AG526" s="148"/>
      <c r="AH526" s="148"/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  <c r="BI526" s="148"/>
      <c r="BJ526" s="148"/>
      <c r="BK526" s="148"/>
      <c r="BL526" s="148"/>
    </row>
    <row r="527" spans="1:64" x14ac:dyDescent="0.2">
      <c r="A527" s="148"/>
      <c r="B527" s="148"/>
      <c r="C527" s="148"/>
      <c r="D527" s="148"/>
      <c r="E527" s="148"/>
      <c r="F527" s="148"/>
      <c r="G527" s="148"/>
      <c r="H527" s="148"/>
      <c r="I527" s="148"/>
      <c r="J527" s="148"/>
      <c r="K527" s="148"/>
      <c r="L527" s="148"/>
      <c r="M527" s="148"/>
      <c r="N527" s="148"/>
      <c r="O527" s="148"/>
      <c r="P527" s="148"/>
      <c r="Q527" s="148"/>
      <c r="R527" s="148"/>
      <c r="S527" s="148"/>
      <c r="T527" s="148"/>
      <c r="U527" s="148"/>
      <c r="V527" s="148"/>
      <c r="W527" s="148"/>
      <c r="X527" s="148"/>
      <c r="Y527" s="148"/>
      <c r="Z527" s="148"/>
      <c r="AA527" s="148"/>
      <c r="AB527" s="148"/>
      <c r="AC527" s="148"/>
      <c r="AD527" s="148"/>
      <c r="AE527" s="148"/>
      <c r="AF527" s="148"/>
      <c r="AG527" s="148"/>
      <c r="AH527" s="148"/>
      <c r="AI527" s="148"/>
      <c r="AJ527" s="148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  <c r="BI527" s="148"/>
      <c r="BJ527" s="148"/>
      <c r="BK527" s="148"/>
      <c r="BL527" s="148"/>
    </row>
    <row r="528" spans="1:64" x14ac:dyDescent="0.2">
      <c r="A528" s="148"/>
      <c r="B528" s="148"/>
      <c r="C528" s="148"/>
      <c r="D528" s="148"/>
      <c r="E528" s="148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48"/>
      <c r="R528" s="148"/>
      <c r="S528" s="148"/>
      <c r="T528" s="148"/>
      <c r="U528" s="148"/>
      <c r="V528" s="148"/>
      <c r="W528" s="14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/>
      <c r="AH528" s="148"/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  <c r="BI528" s="148"/>
      <c r="BJ528" s="148"/>
      <c r="BK528" s="148"/>
      <c r="BL528" s="148"/>
    </row>
    <row r="529" spans="1:64" x14ac:dyDescent="0.2">
      <c r="A529" s="148"/>
      <c r="B529" s="148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  <c r="S529" s="148"/>
      <c r="T529" s="148"/>
      <c r="U529" s="148"/>
      <c r="V529" s="148"/>
      <c r="W529" s="14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  <c r="BI529" s="148"/>
      <c r="BJ529" s="148"/>
      <c r="BK529" s="148"/>
      <c r="BL529" s="148"/>
    </row>
    <row r="530" spans="1:64" x14ac:dyDescent="0.2">
      <c r="A530" s="148"/>
      <c r="B530" s="148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8"/>
      <c r="V530" s="148"/>
      <c r="W530" s="14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  <c r="BI530" s="148"/>
      <c r="BJ530" s="148"/>
      <c r="BK530" s="148"/>
      <c r="BL530" s="148"/>
    </row>
    <row r="531" spans="1:64" x14ac:dyDescent="0.2">
      <c r="A531" s="148"/>
      <c r="B531" s="148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8"/>
      <c r="V531" s="148"/>
      <c r="W531" s="14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  <c r="BI531" s="148"/>
      <c r="BJ531" s="148"/>
      <c r="BK531" s="148"/>
      <c r="BL531" s="148"/>
    </row>
    <row r="532" spans="1:64" x14ac:dyDescent="0.2">
      <c r="A532" s="148"/>
      <c r="B532" s="148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8"/>
      <c r="V532" s="148"/>
      <c r="W532" s="14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  <c r="BI532" s="148"/>
      <c r="BJ532" s="148"/>
      <c r="BK532" s="148"/>
      <c r="BL532" s="148"/>
    </row>
    <row r="533" spans="1:64" x14ac:dyDescent="0.2">
      <c r="A533" s="148"/>
      <c r="B533" s="148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8"/>
      <c r="V533" s="148"/>
      <c r="W533" s="14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  <c r="BI533" s="148"/>
      <c r="BJ533" s="148"/>
      <c r="BK533" s="148"/>
      <c r="BL533" s="148"/>
    </row>
    <row r="534" spans="1:64" x14ac:dyDescent="0.2">
      <c r="A534" s="148"/>
      <c r="B534" s="148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  <c r="BI534" s="148"/>
      <c r="BJ534" s="148"/>
      <c r="BK534" s="148"/>
      <c r="BL534" s="148"/>
    </row>
    <row r="535" spans="1:64" x14ac:dyDescent="0.2">
      <c r="A535" s="148"/>
      <c r="B535" s="148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48"/>
      <c r="BJ535" s="148"/>
      <c r="BK535" s="148"/>
      <c r="BL535" s="148"/>
    </row>
    <row r="536" spans="1:64" x14ac:dyDescent="0.2">
      <c r="A536" s="148"/>
      <c r="B536" s="148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</row>
    <row r="537" spans="1:64" x14ac:dyDescent="0.2">
      <c r="A537" s="148"/>
      <c r="B537" s="148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</row>
    <row r="538" spans="1:64" x14ac:dyDescent="0.2">
      <c r="A538" s="148"/>
      <c r="B538" s="148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</row>
    <row r="539" spans="1:64" x14ac:dyDescent="0.2">
      <c r="A539" s="148"/>
      <c r="B539" s="148"/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</row>
    <row r="540" spans="1:64" x14ac:dyDescent="0.2">
      <c r="A540" s="148"/>
      <c r="B540" s="148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</row>
    <row r="541" spans="1:64" x14ac:dyDescent="0.2">
      <c r="A541" s="148"/>
      <c r="B541" s="148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</row>
    <row r="542" spans="1:64" x14ac:dyDescent="0.2">
      <c r="A542" s="148"/>
      <c r="B542" s="148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</row>
    <row r="543" spans="1:64" x14ac:dyDescent="0.2">
      <c r="A543" s="148"/>
      <c r="B543" s="148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</row>
    <row r="544" spans="1:64" x14ac:dyDescent="0.2">
      <c r="A544" s="148"/>
      <c r="B544" s="148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</row>
    <row r="545" spans="1:64" x14ac:dyDescent="0.2">
      <c r="A545" s="148"/>
      <c r="B545" s="148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48"/>
      <c r="BJ545" s="148"/>
      <c r="BK545" s="148"/>
      <c r="BL545" s="148"/>
    </row>
    <row r="546" spans="1:64" x14ac:dyDescent="0.2">
      <c r="A546" s="148"/>
      <c r="B546" s="148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</row>
    <row r="547" spans="1:64" x14ac:dyDescent="0.2">
      <c r="A547" s="148"/>
      <c r="B547" s="148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  <c r="BI547" s="148"/>
      <c r="BJ547" s="148"/>
      <c r="BK547" s="148"/>
      <c r="BL547" s="148"/>
    </row>
    <row r="548" spans="1:64" x14ac:dyDescent="0.2">
      <c r="A548" s="148"/>
      <c r="B548" s="148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  <c r="BI548" s="148"/>
      <c r="BJ548" s="148"/>
      <c r="BK548" s="148"/>
      <c r="BL548" s="148"/>
    </row>
    <row r="549" spans="1:64" x14ac:dyDescent="0.2">
      <c r="A549" s="148"/>
      <c r="B549" s="148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  <c r="BI549" s="148"/>
      <c r="BJ549" s="148"/>
      <c r="BK549" s="148"/>
      <c r="BL549" s="148"/>
    </row>
    <row r="550" spans="1:64" x14ac:dyDescent="0.2">
      <c r="A550" s="148"/>
      <c r="B550" s="148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  <c r="BI550" s="148"/>
      <c r="BJ550" s="148"/>
      <c r="BK550" s="148"/>
      <c r="BL550" s="148"/>
    </row>
    <row r="551" spans="1:64" x14ac:dyDescent="0.2">
      <c r="A551" s="148"/>
      <c r="B551" s="148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48"/>
      <c r="BJ551" s="148"/>
      <c r="BK551" s="148"/>
      <c r="BL551" s="148"/>
    </row>
    <row r="552" spans="1:64" x14ac:dyDescent="0.2">
      <c r="A552" s="148"/>
      <c r="B552" s="148"/>
      <c r="C552" s="148"/>
      <c r="D552" s="148"/>
      <c r="E552" s="148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148"/>
      <c r="R552" s="148"/>
      <c r="S552" s="148"/>
      <c r="T552" s="148"/>
      <c r="U552" s="148"/>
      <c r="V552" s="148"/>
      <c r="W552" s="14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</row>
    <row r="553" spans="1:64" x14ac:dyDescent="0.2">
      <c r="A553" s="148"/>
      <c r="B553" s="148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</row>
    <row r="554" spans="1:64" x14ac:dyDescent="0.2">
      <c r="A554" s="148"/>
      <c r="B554" s="148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</row>
    <row r="555" spans="1:64" x14ac:dyDescent="0.2">
      <c r="A555" s="148"/>
      <c r="B555" s="148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8"/>
      <c r="V555" s="148"/>
      <c r="W555" s="148"/>
      <c r="X555" s="148"/>
      <c r="Y555" s="148"/>
      <c r="Z555" s="148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</row>
    <row r="556" spans="1:64" x14ac:dyDescent="0.2">
      <c r="A556" s="148"/>
      <c r="B556" s="148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</row>
    <row r="557" spans="1:64" x14ac:dyDescent="0.2">
      <c r="A557" s="148"/>
      <c r="B557" s="148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</row>
    <row r="558" spans="1:64" x14ac:dyDescent="0.2">
      <c r="A558" s="148"/>
      <c r="B558" s="148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</row>
    <row r="559" spans="1:64" x14ac:dyDescent="0.2">
      <c r="A559" s="148"/>
      <c r="B559" s="148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</row>
    <row r="560" spans="1:64" x14ac:dyDescent="0.2">
      <c r="A560" s="148"/>
      <c r="B560" s="148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</row>
    <row r="561" spans="1:64" x14ac:dyDescent="0.2">
      <c r="A561" s="148"/>
      <c r="B561" s="148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</row>
    <row r="562" spans="1:64" x14ac:dyDescent="0.2">
      <c r="A562" s="148"/>
      <c r="B562" s="148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</row>
    <row r="563" spans="1:64" x14ac:dyDescent="0.2">
      <c r="A563" s="148"/>
      <c r="B563" s="148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  <c r="BI563" s="148"/>
      <c r="BJ563" s="148"/>
      <c r="BK563" s="148"/>
      <c r="BL563" s="148"/>
    </row>
    <row r="564" spans="1:64" x14ac:dyDescent="0.2">
      <c r="A564" s="148"/>
      <c r="B564" s="148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  <c r="BI564" s="148"/>
      <c r="BJ564" s="148"/>
      <c r="BK564" s="148"/>
      <c r="BL564" s="148"/>
    </row>
    <row r="565" spans="1:64" x14ac:dyDescent="0.2">
      <c r="A565" s="148"/>
      <c r="B565" s="148"/>
      <c r="C565" s="148"/>
      <c r="D565" s="148"/>
      <c r="E565" s="148"/>
      <c r="F565" s="148"/>
      <c r="G565" s="148"/>
      <c r="H565" s="148"/>
      <c r="I565" s="148"/>
      <c r="J565" s="148"/>
      <c r="K565" s="148"/>
      <c r="L565" s="148"/>
      <c r="M565" s="148"/>
      <c r="N565" s="148"/>
      <c r="O565" s="148"/>
      <c r="P565" s="148"/>
      <c r="Q565" s="148"/>
      <c r="R565" s="148"/>
      <c r="S565" s="148"/>
      <c r="T565" s="148"/>
      <c r="U565" s="148"/>
      <c r="V565" s="148"/>
      <c r="W565" s="14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  <c r="BI565" s="148"/>
      <c r="BJ565" s="148"/>
      <c r="BK565" s="148"/>
      <c r="BL565" s="148"/>
    </row>
    <row r="566" spans="1:64" x14ac:dyDescent="0.2">
      <c r="A566" s="148"/>
      <c r="B566" s="148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  <c r="BI566" s="148"/>
      <c r="BJ566" s="148"/>
      <c r="BK566" s="148"/>
      <c r="BL566" s="148"/>
    </row>
    <row r="567" spans="1:64" x14ac:dyDescent="0.2">
      <c r="A567" s="148"/>
      <c r="B567" s="148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  <c r="BI567" s="148"/>
      <c r="BJ567" s="148"/>
      <c r="BK567" s="148"/>
      <c r="BL567" s="148"/>
    </row>
    <row r="568" spans="1:64" x14ac:dyDescent="0.2">
      <c r="A568" s="148"/>
      <c r="B568" s="148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  <c r="BI568" s="148"/>
      <c r="BJ568" s="148"/>
      <c r="BK568" s="148"/>
      <c r="BL568" s="148"/>
    </row>
    <row r="569" spans="1:64" x14ac:dyDescent="0.2">
      <c r="A569" s="148"/>
      <c r="B569" s="148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  <c r="BI569" s="148"/>
      <c r="BJ569" s="148"/>
      <c r="BK569" s="148"/>
      <c r="BL569" s="148"/>
    </row>
    <row r="570" spans="1:64" x14ac:dyDescent="0.2">
      <c r="A570" s="148"/>
      <c r="B570" s="148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  <c r="BI570" s="148"/>
      <c r="BJ570" s="148"/>
      <c r="BK570" s="148"/>
      <c r="BL570" s="148"/>
    </row>
    <row r="571" spans="1:64" x14ac:dyDescent="0.2">
      <c r="A571" s="148"/>
      <c r="B571" s="148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  <c r="BI571" s="148"/>
      <c r="BJ571" s="148"/>
      <c r="BK571" s="148"/>
      <c r="BL571" s="148"/>
    </row>
    <row r="572" spans="1:64" x14ac:dyDescent="0.2">
      <c r="A572" s="148"/>
      <c r="B572" s="148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48"/>
      <c r="BJ572" s="148"/>
      <c r="BK572" s="148"/>
      <c r="BL572" s="148"/>
    </row>
    <row r="573" spans="1:64" x14ac:dyDescent="0.2">
      <c r="A573" s="148"/>
      <c r="B573" s="148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48"/>
      <c r="BJ573" s="148"/>
      <c r="BK573" s="148"/>
      <c r="BL573" s="148"/>
    </row>
    <row r="574" spans="1:64" x14ac:dyDescent="0.2">
      <c r="A574" s="148"/>
      <c r="B574" s="148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  <c r="Y574" s="148"/>
      <c r="Z574" s="148"/>
      <c r="AA574" s="148"/>
      <c r="AB574" s="148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  <c r="BI574" s="148"/>
      <c r="BJ574" s="148"/>
      <c r="BK574" s="148"/>
      <c r="BL574" s="148"/>
    </row>
    <row r="575" spans="1:64" x14ac:dyDescent="0.2">
      <c r="A575" s="148"/>
      <c r="B575" s="148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8"/>
      <c r="V575" s="148"/>
      <c r="W575" s="148"/>
      <c r="X575" s="148"/>
      <c r="Y575" s="148"/>
      <c r="Z575" s="148"/>
      <c r="AA575" s="148"/>
      <c r="AB575" s="148"/>
      <c r="AC575" s="148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  <c r="BI575" s="148"/>
      <c r="BJ575" s="148"/>
      <c r="BK575" s="148"/>
      <c r="BL575" s="148"/>
    </row>
    <row r="576" spans="1:64" x14ac:dyDescent="0.2">
      <c r="A576" s="148"/>
      <c r="B576" s="148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  <c r="Y576" s="148"/>
      <c r="Z576" s="148"/>
      <c r="AA576" s="148"/>
      <c r="AB576" s="148"/>
      <c r="AC576" s="148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  <c r="BI576" s="148"/>
      <c r="BJ576" s="148"/>
      <c r="BK576" s="148"/>
      <c r="BL576" s="148"/>
    </row>
    <row r="577" spans="1:64" x14ac:dyDescent="0.2">
      <c r="A577" s="148"/>
      <c r="B577" s="148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8"/>
      <c r="V577" s="148"/>
      <c r="W577" s="148"/>
      <c r="X577" s="148"/>
      <c r="Y577" s="148"/>
      <c r="Z577" s="148"/>
      <c r="AA577" s="148"/>
      <c r="AB577" s="148"/>
      <c r="AC577" s="148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  <c r="BI577" s="148"/>
      <c r="BJ577" s="148"/>
      <c r="BK577" s="148"/>
      <c r="BL577" s="148"/>
    </row>
    <row r="578" spans="1:64" x14ac:dyDescent="0.2">
      <c r="A578" s="148"/>
      <c r="B578" s="148"/>
      <c r="C578" s="148"/>
      <c r="D578" s="148"/>
      <c r="E578" s="148"/>
      <c r="F578" s="148"/>
      <c r="G578" s="148"/>
      <c r="H578" s="148"/>
      <c r="I578" s="148"/>
      <c r="J578" s="148"/>
      <c r="K578" s="148"/>
      <c r="L578" s="148"/>
      <c r="M578" s="148"/>
      <c r="N578" s="148"/>
      <c r="O578" s="148"/>
      <c r="P578" s="148"/>
      <c r="Q578" s="148"/>
      <c r="R578" s="148"/>
      <c r="S578" s="148"/>
      <c r="T578" s="148"/>
      <c r="U578" s="148"/>
      <c r="V578" s="148"/>
      <c r="W578" s="148"/>
      <c r="X578" s="148"/>
      <c r="Y578" s="148"/>
      <c r="Z578" s="148"/>
      <c r="AA578" s="148"/>
      <c r="AB578" s="148"/>
      <c r="AC578" s="148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  <c r="BI578" s="148"/>
      <c r="BJ578" s="148"/>
      <c r="BK578" s="148"/>
      <c r="BL578" s="148"/>
    </row>
    <row r="579" spans="1:64" x14ac:dyDescent="0.2">
      <c r="A579" s="148"/>
      <c r="B579" s="148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8"/>
      <c r="V579" s="148"/>
      <c r="W579" s="148"/>
      <c r="X579" s="148"/>
      <c r="Y579" s="148"/>
      <c r="Z579" s="148"/>
      <c r="AA579" s="148"/>
      <c r="AB579" s="148"/>
      <c r="AC579" s="148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  <c r="BI579" s="148"/>
      <c r="BJ579" s="148"/>
      <c r="BK579" s="148"/>
      <c r="BL579" s="148"/>
    </row>
    <row r="580" spans="1:64" x14ac:dyDescent="0.2">
      <c r="A580" s="148"/>
      <c r="B580" s="148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</row>
    <row r="581" spans="1:64" x14ac:dyDescent="0.2">
      <c r="A581" s="148"/>
      <c r="B581" s="148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  <c r="BI581" s="148"/>
      <c r="BJ581" s="148"/>
      <c r="BK581" s="148"/>
      <c r="BL581" s="148"/>
    </row>
    <row r="582" spans="1:64" x14ac:dyDescent="0.2">
      <c r="A582" s="148"/>
      <c r="B582" s="148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  <c r="BI582" s="148"/>
      <c r="BJ582" s="148"/>
      <c r="BK582" s="148"/>
      <c r="BL582" s="148"/>
    </row>
    <row r="583" spans="1:64" x14ac:dyDescent="0.2">
      <c r="A583" s="148"/>
      <c r="B583" s="148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  <c r="BI583" s="148"/>
      <c r="BJ583" s="148"/>
      <c r="BK583" s="148"/>
      <c r="BL583" s="148"/>
    </row>
    <row r="584" spans="1:64" x14ac:dyDescent="0.2">
      <c r="A584" s="148"/>
      <c r="B584" s="148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/>
      <c r="AH584" s="148"/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  <c r="BI584" s="148"/>
      <c r="BJ584" s="148"/>
      <c r="BK584" s="148"/>
      <c r="BL584" s="148"/>
    </row>
    <row r="585" spans="1:64" x14ac:dyDescent="0.2">
      <c r="A585" s="148"/>
      <c r="B585" s="148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/>
      <c r="AH585" s="148"/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  <c r="BI585" s="148"/>
      <c r="BJ585" s="148"/>
      <c r="BK585" s="148"/>
      <c r="BL585" s="148"/>
    </row>
    <row r="586" spans="1:64" x14ac:dyDescent="0.2">
      <c r="A586" s="148"/>
      <c r="B586" s="148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/>
      <c r="AH586" s="148"/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  <c r="BI586" s="148"/>
      <c r="BJ586" s="148"/>
      <c r="BK586" s="148"/>
      <c r="BL586" s="148"/>
    </row>
    <row r="587" spans="1:64" x14ac:dyDescent="0.2">
      <c r="A587" s="148"/>
      <c r="B587" s="148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  <c r="Y587" s="148"/>
      <c r="Z587" s="148"/>
      <c r="AA587" s="148"/>
      <c r="AB587" s="148"/>
      <c r="AC587" s="148"/>
      <c r="AD587" s="148"/>
      <c r="AE587" s="148"/>
      <c r="AF587" s="148"/>
      <c r="AG587" s="148"/>
      <c r="AH587" s="148"/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  <c r="BI587" s="148"/>
      <c r="BJ587" s="148"/>
      <c r="BK587" s="148"/>
      <c r="BL587" s="148"/>
    </row>
    <row r="588" spans="1:64" x14ac:dyDescent="0.2">
      <c r="A588" s="148"/>
      <c r="B588" s="148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  <c r="Y588" s="148"/>
      <c r="Z588" s="148"/>
      <c r="AA588" s="148"/>
      <c r="AB588" s="148"/>
      <c r="AC588" s="148"/>
      <c r="AD588" s="148"/>
      <c r="AE588" s="148"/>
      <c r="AF588" s="148"/>
      <c r="AG588" s="148"/>
      <c r="AH588" s="148"/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  <c r="BI588" s="148"/>
      <c r="BJ588" s="148"/>
      <c r="BK588" s="148"/>
      <c r="BL588" s="148"/>
    </row>
    <row r="589" spans="1:64" x14ac:dyDescent="0.2">
      <c r="A589" s="148"/>
      <c r="B589" s="148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  <c r="BI589" s="148"/>
      <c r="BJ589" s="148"/>
      <c r="BK589" s="148"/>
      <c r="BL589" s="148"/>
    </row>
    <row r="590" spans="1:64" x14ac:dyDescent="0.2">
      <c r="A590" s="148"/>
      <c r="B590" s="148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  <c r="BI590" s="148"/>
      <c r="BJ590" s="148"/>
      <c r="BK590" s="148"/>
      <c r="BL590" s="148"/>
    </row>
    <row r="591" spans="1:64" x14ac:dyDescent="0.2">
      <c r="A591" s="148"/>
      <c r="B591" s="148"/>
      <c r="C591" s="148"/>
      <c r="D591" s="148"/>
      <c r="E591" s="148"/>
      <c r="F591" s="148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  <c r="S591" s="148"/>
      <c r="T591" s="148"/>
      <c r="U591" s="148"/>
      <c r="V591" s="148"/>
      <c r="W591" s="14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  <c r="BI591" s="148"/>
      <c r="BJ591" s="148"/>
      <c r="BK591" s="148"/>
      <c r="BL591" s="148"/>
    </row>
    <row r="592" spans="1:64" x14ac:dyDescent="0.2">
      <c r="A592" s="148"/>
      <c r="B592" s="148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</row>
    <row r="593" spans="1:64" x14ac:dyDescent="0.2">
      <c r="A593" s="148"/>
      <c r="B593" s="148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</row>
    <row r="594" spans="1:64" x14ac:dyDescent="0.2">
      <c r="A594" s="148"/>
      <c r="B594" s="148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</row>
    <row r="595" spans="1:64" x14ac:dyDescent="0.2">
      <c r="A595" s="148"/>
      <c r="B595" s="148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</row>
    <row r="596" spans="1:64" x14ac:dyDescent="0.2">
      <c r="A596" s="148"/>
      <c r="B596" s="148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</row>
    <row r="597" spans="1:64" x14ac:dyDescent="0.2">
      <c r="A597" s="148"/>
      <c r="B597" s="148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</row>
    <row r="598" spans="1:64" x14ac:dyDescent="0.2">
      <c r="A598" s="148"/>
      <c r="B598" s="148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  <c r="Y598" s="148"/>
      <c r="Z598" s="148"/>
      <c r="AA598" s="148"/>
      <c r="AB598" s="148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</row>
    <row r="599" spans="1:64" x14ac:dyDescent="0.2">
      <c r="A599" s="148"/>
      <c r="B599" s="148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  <c r="Y599" s="148"/>
      <c r="Z599" s="148"/>
      <c r="AA599" s="148"/>
      <c r="AB599" s="148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</row>
    <row r="600" spans="1:64" x14ac:dyDescent="0.2">
      <c r="A600" s="148"/>
      <c r="B600" s="148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  <c r="Y600" s="148"/>
      <c r="Z600" s="148"/>
      <c r="AA600" s="148"/>
      <c r="AB600" s="148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48"/>
      <c r="BJ600" s="148"/>
      <c r="BK600" s="148"/>
      <c r="BL600" s="148"/>
    </row>
    <row r="601" spans="1:64" x14ac:dyDescent="0.2">
      <c r="A601" s="148"/>
      <c r="B601" s="148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8"/>
      <c r="V601" s="148"/>
      <c r="W601" s="148"/>
      <c r="X601" s="148"/>
      <c r="Y601" s="148"/>
      <c r="Z601" s="148"/>
      <c r="AA601" s="148"/>
      <c r="AB601" s="148"/>
      <c r="AC601" s="148"/>
      <c r="AD601" s="148"/>
      <c r="AE601" s="148"/>
      <c r="AF601" s="148"/>
      <c r="AG601" s="148"/>
      <c r="AH601" s="148"/>
      <c r="AI601" s="148"/>
      <c r="AJ601" s="148"/>
      <c r="AK601" s="148"/>
      <c r="AL601" s="148"/>
      <c r="AM601" s="148"/>
      <c r="AN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  <c r="BI601" s="148"/>
      <c r="BJ601" s="148"/>
      <c r="BK601" s="148"/>
      <c r="BL601" s="148"/>
    </row>
    <row r="602" spans="1:64" x14ac:dyDescent="0.2">
      <c r="A602" s="148"/>
      <c r="B602" s="148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8"/>
      <c r="V602" s="148"/>
      <c r="W602" s="148"/>
      <c r="X602" s="148"/>
      <c r="Y602" s="148"/>
      <c r="Z602" s="148"/>
      <c r="AA602" s="148"/>
      <c r="AB602" s="148"/>
      <c r="AC602" s="148"/>
      <c r="AD602" s="148"/>
      <c r="AE602" s="148"/>
      <c r="AF602" s="148"/>
      <c r="AG602" s="148"/>
      <c r="AH602" s="148"/>
      <c r="AI602" s="148"/>
      <c r="AJ602" s="148"/>
      <c r="AK602" s="148"/>
      <c r="AL602" s="148"/>
      <c r="AM602" s="148"/>
      <c r="AN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  <c r="BI602" s="148"/>
      <c r="BJ602" s="148"/>
      <c r="BK602" s="148"/>
      <c r="BL602" s="148"/>
    </row>
    <row r="603" spans="1:64" x14ac:dyDescent="0.2">
      <c r="A603" s="148"/>
      <c r="B603" s="148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8"/>
      <c r="V603" s="148"/>
      <c r="W603" s="148"/>
      <c r="X603" s="148"/>
      <c r="Y603" s="148"/>
      <c r="Z603" s="148"/>
      <c r="AA603" s="148"/>
      <c r="AB603" s="148"/>
      <c r="AC603" s="148"/>
      <c r="AD603" s="148"/>
      <c r="AE603" s="148"/>
      <c r="AF603" s="148"/>
      <c r="AG603" s="148"/>
      <c r="AH603" s="148"/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  <c r="BI603" s="148"/>
      <c r="BJ603" s="148"/>
      <c r="BK603" s="148"/>
      <c r="BL603" s="148"/>
    </row>
    <row r="604" spans="1:64" x14ac:dyDescent="0.2">
      <c r="A604" s="148"/>
      <c r="B604" s="148"/>
      <c r="C604" s="148"/>
      <c r="D604" s="148"/>
      <c r="E604" s="148"/>
      <c r="F604" s="148"/>
      <c r="G604" s="148"/>
      <c r="H604" s="148"/>
      <c r="I604" s="148"/>
      <c r="J604" s="148"/>
      <c r="K604" s="148"/>
      <c r="L604" s="148"/>
      <c r="M604" s="148"/>
      <c r="N604" s="148"/>
      <c r="O604" s="148"/>
      <c r="P604" s="148"/>
      <c r="Q604" s="148"/>
      <c r="R604" s="148"/>
      <c r="S604" s="148"/>
      <c r="T604" s="148"/>
      <c r="U604" s="148"/>
      <c r="V604" s="148"/>
      <c r="W604" s="148"/>
      <c r="X604" s="148"/>
      <c r="Y604" s="148"/>
      <c r="Z604" s="148"/>
      <c r="AA604" s="148"/>
      <c r="AB604" s="148"/>
      <c r="AC604" s="148"/>
      <c r="AD604" s="148"/>
      <c r="AE604" s="148"/>
      <c r="AF604" s="148"/>
      <c r="AG604" s="148"/>
      <c r="AH604" s="148"/>
      <c r="AI604" s="148"/>
      <c r="AJ604" s="148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  <c r="BI604" s="148"/>
      <c r="BJ604" s="148"/>
      <c r="BK604" s="148"/>
      <c r="BL604" s="148"/>
    </row>
    <row r="605" spans="1:64" x14ac:dyDescent="0.2">
      <c r="A605" s="148"/>
      <c r="B605" s="148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8"/>
      <c r="V605" s="148"/>
      <c r="W605" s="148"/>
      <c r="X605" s="148"/>
      <c r="Y605" s="148"/>
      <c r="Z605" s="148"/>
      <c r="AA605" s="148"/>
      <c r="AB605" s="148"/>
      <c r="AC605" s="148"/>
      <c r="AD605" s="148"/>
      <c r="AE605" s="148"/>
      <c r="AF605" s="148"/>
      <c r="AG605" s="148"/>
      <c r="AH605" s="148"/>
      <c r="AI605" s="148"/>
      <c r="AJ605" s="148"/>
      <c r="AK605" s="148"/>
      <c r="AL605" s="148"/>
      <c r="AM605" s="148"/>
      <c r="AN605" s="148"/>
      <c r="AO605" s="148"/>
      <c r="AP605" s="148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  <c r="BI605" s="148"/>
      <c r="BJ605" s="148"/>
      <c r="BK605" s="148"/>
      <c r="BL605" s="148"/>
    </row>
    <row r="606" spans="1:64" x14ac:dyDescent="0.2">
      <c r="A606" s="148"/>
      <c r="B606" s="148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8"/>
      <c r="V606" s="148"/>
      <c r="W606" s="148"/>
      <c r="X606" s="148"/>
      <c r="Y606" s="148"/>
      <c r="Z606" s="148"/>
      <c r="AA606" s="148"/>
      <c r="AB606" s="148"/>
      <c r="AC606" s="148"/>
      <c r="AD606" s="148"/>
      <c r="AE606" s="148"/>
      <c r="AF606" s="148"/>
      <c r="AG606" s="148"/>
      <c r="AH606" s="148"/>
      <c r="AI606" s="148"/>
      <c r="AJ606" s="148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  <c r="BI606" s="148"/>
      <c r="BJ606" s="148"/>
      <c r="BK606" s="148"/>
      <c r="BL606" s="148"/>
    </row>
    <row r="607" spans="1:64" x14ac:dyDescent="0.2">
      <c r="A607" s="148"/>
      <c r="B607" s="148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8"/>
      <c r="V607" s="148"/>
      <c r="W607" s="148"/>
      <c r="X607" s="148"/>
      <c r="Y607" s="148"/>
      <c r="Z607" s="148"/>
      <c r="AA607" s="148"/>
      <c r="AB607" s="148"/>
      <c r="AC607" s="148"/>
      <c r="AD607" s="148"/>
      <c r="AE607" s="148"/>
      <c r="AF607" s="148"/>
      <c r="AG607" s="148"/>
      <c r="AH607" s="148"/>
      <c r="AI607" s="148"/>
      <c r="AJ607" s="148"/>
      <c r="AK607" s="148"/>
      <c r="AL607" s="148"/>
      <c r="AM607" s="148"/>
      <c r="AN607" s="148"/>
      <c r="AO607" s="148"/>
      <c r="AP607" s="148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  <c r="BI607" s="148"/>
      <c r="BJ607" s="148"/>
      <c r="BK607" s="148"/>
      <c r="BL607" s="148"/>
    </row>
    <row r="608" spans="1:64" x14ac:dyDescent="0.2">
      <c r="A608" s="148"/>
      <c r="B608" s="148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8"/>
      <c r="V608" s="148"/>
      <c r="W608" s="148"/>
      <c r="X608" s="148"/>
      <c r="Y608" s="148"/>
      <c r="Z608" s="148"/>
      <c r="AA608" s="148"/>
      <c r="AB608" s="148"/>
      <c r="AC608" s="148"/>
      <c r="AD608" s="148"/>
      <c r="AE608" s="148"/>
      <c r="AF608" s="148"/>
      <c r="AG608" s="148"/>
      <c r="AH608" s="148"/>
      <c r="AI608" s="148"/>
      <c r="AJ608" s="148"/>
      <c r="AK608" s="148"/>
      <c r="AL608" s="148"/>
      <c r="AM608" s="148"/>
      <c r="AN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  <c r="BI608" s="148"/>
      <c r="BJ608" s="148"/>
      <c r="BK608" s="148"/>
      <c r="BL608" s="148"/>
    </row>
    <row r="609" spans="1:64" x14ac:dyDescent="0.2">
      <c r="A609" s="148"/>
      <c r="B609" s="148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8"/>
      <c r="V609" s="148"/>
      <c r="W609" s="148"/>
      <c r="X609" s="148"/>
      <c r="Y609" s="148"/>
      <c r="Z609" s="148"/>
      <c r="AA609" s="148"/>
      <c r="AB609" s="148"/>
      <c r="AC609" s="148"/>
      <c r="AD609" s="148"/>
      <c r="AE609" s="148"/>
      <c r="AF609" s="148"/>
      <c r="AG609" s="148"/>
      <c r="AH609" s="148"/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  <c r="BI609" s="148"/>
      <c r="BJ609" s="148"/>
      <c r="BK609" s="148"/>
      <c r="BL609" s="148"/>
    </row>
    <row r="610" spans="1:64" x14ac:dyDescent="0.2">
      <c r="A610" s="148"/>
      <c r="B610" s="148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8"/>
      <c r="V610" s="148"/>
      <c r="W610" s="148"/>
      <c r="X610" s="148"/>
      <c r="Y610" s="148"/>
      <c r="Z610" s="148"/>
      <c r="AA610" s="148"/>
      <c r="AB610" s="148"/>
      <c r="AC610" s="148"/>
      <c r="AD610" s="148"/>
      <c r="AE610" s="148"/>
      <c r="AF610" s="148"/>
      <c r="AG610" s="148"/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  <c r="BI610" s="148"/>
      <c r="BJ610" s="148"/>
      <c r="BK610" s="148"/>
      <c r="BL610" s="148"/>
    </row>
    <row r="611" spans="1:64" x14ac:dyDescent="0.2">
      <c r="A611" s="148"/>
      <c r="B611" s="148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8"/>
      <c r="V611" s="148"/>
      <c r="W611" s="148"/>
      <c r="X611" s="148"/>
      <c r="Y611" s="148"/>
      <c r="Z611" s="148"/>
      <c r="AA611" s="148"/>
      <c r="AB611" s="148"/>
      <c r="AC611" s="148"/>
      <c r="AD611" s="148"/>
      <c r="AE611" s="148"/>
      <c r="AF611" s="148"/>
      <c r="AG611" s="148"/>
      <c r="AH611" s="148"/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  <c r="BI611" s="148"/>
      <c r="BJ611" s="148"/>
      <c r="BK611" s="148"/>
      <c r="BL611" s="148"/>
    </row>
    <row r="612" spans="1:64" x14ac:dyDescent="0.2">
      <c r="A612" s="148"/>
      <c r="B612" s="148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8"/>
      <c r="V612" s="148"/>
      <c r="W612" s="148"/>
      <c r="X612" s="148"/>
      <c r="Y612" s="148"/>
      <c r="Z612" s="148"/>
      <c r="AA612" s="148"/>
      <c r="AB612" s="148"/>
      <c r="AC612" s="148"/>
      <c r="AD612" s="148"/>
      <c r="AE612" s="148"/>
      <c r="AF612" s="148"/>
      <c r="AG612" s="148"/>
      <c r="AH612" s="148"/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  <c r="BI612" s="148"/>
      <c r="BJ612" s="148"/>
      <c r="BK612" s="148"/>
      <c r="BL612" s="148"/>
    </row>
    <row r="613" spans="1:64" x14ac:dyDescent="0.2">
      <c r="A613" s="148"/>
      <c r="B613" s="148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8"/>
      <c r="V613" s="148"/>
      <c r="W613" s="148"/>
      <c r="X613" s="148"/>
      <c r="Y613" s="148"/>
      <c r="Z613" s="148"/>
      <c r="AA613" s="148"/>
      <c r="AB613" s="148"/>
      <c r="AC613" s="148"/>
      <c r="AD613" s="148"/>
      <c r="AE613" s="148"/>
      <c r="AF613" s="148"/>
      <c r="AG613" s="148"/>
      <c r="AH613" s="148"/>
      <c r="AI613" s="148"/>
      <c r="AJ613" s="148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  <c r="BI613" s="148"/>
      <c r="BJ613" s="148"/>
      <c r="BK613" s="148"/>
      <c r="BL613" s="148"/>
    </row>
    <row r="614" spans="1:64" x14ac:dyDescent="0.2">
      <c r="A614" s="148"/>
      <c r="B614" s="148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8"/>
      <c r="V614" s="148"/>
      <c r="W614" s="148"/>
      <c r="X614" s="148"/>
      <c r="Y614" s="148"/>
      <c r="Z614" s="148"/>
      <c r="AA614" s="148"/>
      <c r="AB614" s="148"/>
      <c r="AC614" s="148"/>
      <c r="AD614" s="148"/>
      <c r="AE614" s="148"/>
      <c r="AF614" s="148"/>
      <c r="AG614" s="148"/>
      <c r="AH614" s="148"/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  <c r="BI614" s="148"/>
      <c r="BJ614" s="148"/>
      <c r="BK614" s="148"/>
      <c r="BL614" s="148"/>
    </row>
    <row r="615" spans="1:64" x14ac:dyDescent="0.2">
      <c r="A615" s="148"/>
      <c r="B615" s="148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8"/>
      <c r="V615" s="148"/>
      <c r="W615" s="148"/>
      <c r="X615" s="148"/>
      <c r="Y615" s="148"/>
      <c r="Z615" s="148"/>
      <c r="AA615" s="148"/>
      <c r="AB615" s="148"/>
      <c r="AC615" s="148"/>
      <c r="AD615" s="148"/>
      <c r="AE615" s="148"/>
      <c r="AF615" s="148"/>
      <c r="AG615" s="148"/>
      <c r="AH615" s="148"/>
      <c r="AI615" s="148"/>
      <c r="AJ615" s="148"/>
      <c r="AK615" s="148"/>
      <c r="AL615" s="148"/>
      <c r="AM615" s="148"/>
      <c r="AN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  <c r="BI615" s="148"/>
      <c r="BJ615" s="148"/>
      <c r="BK615" s="148"/>
      <c r="BL615" s="148"/>
    </row>
    <row r="616" spans="1:64" x14ac:dyDescent="0.2">
      <c r="A616" s="148"/>
      <c r="B616" s="148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8"/>
      <c r="V616" s="148"/>
      <c r="W616" s="148"/>
      <c r="X616" s="148"/>
      <c r="Y616" s="148"/>
      <c r="Z616" s="148"/>
      <c r="AA616" s="148"/>
      <c r="AB616" s="148"/>
      <c r="AC616" s="148"/>
      <c r="AD616" s="148"/>
      <c r="AE616" s="148"/>
      <c r="AF616" s="148"/>
      <c r="AG616" s="148"/>
      <c r="AH616" s="148"/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  <c r="BI616" s="148"/>
      <c r="BJ616" s="148"/>
      <c r="BK616" s="148"/>
      <c r="BL616" s="148"/>
    </row>
    <row r="617" spans="1:64" x14ac:dyDescent="0.2">
      <c r="A617" s="148"/>
      <c r="B617" s="148"/>
      <c r="C617" s="148"/>
      <c r="D617" s="148"/>
      <c r="E617" s="148"/>
      <c r="F617" s="148"/>
      <c r="G617" s="148"/>
      <c r="H617" s="148"/>
      <c r="I617" s="148"/>
      <c r="J617" s="148"/>
      <c r="K617" s="148"/>
      <c r="L617" s="148"/>
      <c r="M617" s="148"/>
      <c r="N617" s="148"/>
      <c r="O617" s="148"/>
      <c r="P617" s="148"/>
      <c r="Q617" s="148"/>
      <c r="R617" s="148"/>
      <c r="S617" s="148"/>
      <c r="T617" s="148"/>
      <c r="U617" s="148"/>
      <c r="V617" s="148"/>
      <c r="W617" s="148"/>
      <c r="X617" s="148"/>
      <c r="Y617" s="148"/>
      <c r="Z617" s="148"/>
      <c r="AA617" s="148"/>
      <c r="AB617" s="148"/>
      <c r="AC617" s="148"/>
      <c r="AD617" s="148"/>
      <c r="AE617" s="148"/>
      <c r="AF617" s="148"/>
      <c r="AG617" s="148"/>
      <c r="AH617" s="148"/>
      <c r="AI617" s="148"/>
      <c r="AJ617" s="148"/>
      <c r="AK617" s="148"/>
      <c r="AL617" s="148"/>
      <c r="AM617" s="148"/>
      <c r="AN617" s="148"/>
      <c r="AO617" s="148"/>
      <c r="AP617" s="148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  <c r="BI617" s="148"/>
      <c r="BJ617" s="148"/>
      <c r="BK617" s="148"/>
      <c r="BL617" s="148"/>
    </row>
    <row r="618" spans="1:64" x14ac:dyDescent="0.2">
      <c r="A618" s="148"/>
      <c r="B618" s="148"/>
      <c r="C618" s="148"/>
      <c r="D618" s="148"/>
      <c r="E618" s="148"/>
      <c r="F618" s="148"/>
      <c r="G618" s="148"/>
      <c r="H618" s="148"/>
      <c r="I618" s="148"/>
      <c r="J618" s="148"/>
      <c r="K618" s="148"/>
      <c r="L618" s="148"/>
      <c r="M618" s="148"/>
      <c r="N618" s="148"/>
      <c r="O618" s="148"/>
      <c r="P618" s="148"/>
      <c r="Q618" s="148"/>
      <c r="R618" s="148"/>
      <c r="S618" s="148"/>
      <c r="T618" s="148"/>
      <c r="U618" s="148"/>
      <c r="V618" s="148"/>
      <c r="W618" s="148"/>
      <c r="X618" s="148"/>
      <c r="Y618" s="148"/>
      <c r="Z618" s="148"/>
      <c r="AA618" s="148"/>
      <c r="AB618" s="148"/>
      <c r="AC618" s="148"/>
      <c r="AD618" s="148"/>
      <c r="AE618" s="148"/>
      <c r="AF618" s="148"/>
      <c r="AG618" s="148"/>
      <c r="AH618" s="148"/>
      <c r="AI618" s="148"/>
      <c r="AJ618" s="148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  <c r="BI618" s="148"/>
      <c r="BJ618" s="148"/>
      <c r="BK618" s="148"/>
      <c r="BL618" s="148"/>
    </row>
    <row r="619" spans="1:64" x14ac:dyDescent="0.2">
      <c r="A619" s="148"/>
      <c r="B619" s="148"/>
      <c r="C619" s="148"/>
      <c r="D619" s="148"/>
      <c r="E619" s="148"/>
      <c r="F619" s="148"/>
      <c r="G619" s="148"/>
      <c r="H619" s="148"/>
      <c r="I619" s="148"/>
      <c r="J619" s="148"/>
      <c r="K619" s="148"/>
      <c r="L619" s="148"/>
      <c r="M619" s="148"/>
      <c r="N619" s="148"/>
      <c r="O619" s="148"/>
      <c r="P619" s="148"/>
      <c r="Q619" s="148"/>
      <c r="R619" s="148"/>
      <c r="S619" s="148"/>
      <c r="T619" s="148"/>
      <c r="U619" s="148"/>
      <c r="V619" s="148"/>
      <c r="W619" s="148"/>
      <c r="X619" s="148"/>
      <c r="Y619" s="148"/>
      <c r="Z619" s="148"/>
      <c r="AA619" s="148"/>
      <c r="AB619" s="148"/>
      <c r="AC619" s="148"/>
      <c r="AD619" s="148"/>
      <c r="AE619" s="148"/>
      <c r="AF619" s="148"/>
      <c r="AG619" s="148"/>
      <c r="AH619" s="148"/>
      <c r="AI619" s="148"/>
      <c r="AJ619" s="148"/>
      <c r="AK619" s="148"/>
      <c r="AL619" s="148"/>
      <c r="AM619" s="148"/>
      <c r="AN619" s="148"/>
      <c r="AO619" s="148"/>
      <c r="AP619" s="148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H619" s="148"/>
      <c r="BI619" s="148"/>
      <c r="BJ619" s="148"/>
      <c r="BK619" s="148"/>
      <c r="BL619" s="148"/>
    </row>
    <row r="620" spans="1:64" x14ac:dyDescent="0.2">
      <c r="A620" s="148"/>
      <c r="B620" s="148"/>
      <c r="C620" s="148"/>
      <c r="D620" s="148"/>
      <c r="E620" s="148"/>
      <c r="F620" s="148"/>
      <c r="G620" s="148"/>
      <c r="H620" s="148"/>
      <c r="I620" s="148"/>
      <c r="J620" s="148"/>
      <c r="K620" s="148"/>
      <c r="L620" s="148"/>
      <c r="M620" s="148"/>
      <c r="N620" s="148"/>
      <c r="O620" s="148"/>
      <c r="P620" s="148"/>
      <c r="Q620" s="148"/>
      <c r="R620" s="148"/>
      <c r="S620" s="148"/>
      <c r="T620" s="148"/>
      <c r="U620" s="148"/>
      <c r="V620" s="148"/>
      <c r="W620" s="148"/>
      <c r="X620" s="148"/>
      <c r="Y620" s="148"/>
      <c r="Z620" s="148"/>
      <c r="AA620" s="148"/>
      <c r="AB620" s="148"/>
      <c r="AC620" s="148"/>
      <c r="AD620" s="148"/>
      <c r="AE620" s="148"/>
      <c r="AF620" s="148"/>
      <c r="AG620" s="148"/>
      <c r="AH620" s="148"/>
      <c r="AI620" s="148"/>
      <c r="AJ620" s="148"/>
      <c r="AK620" s="148"/>
      <c r="AL620" s="148"/>
      <c r="AM620" s="148"/>
      <c r="AN620" s="148"/>
      <c r="AO620" s="148"/>
      <c r="AP620" s="148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  <c r="BI620" s="148"/>
      <c r="BJ620" s="148"/>
      <c r="BK620" s="148"/>
      <c r="BL620" s="148"/>
    </row>
  </sheetData>
  <sheetProtection algorithmName="SHA-512" hashValue="8CtPRRNvvqMtD4GoUzI+0FSgwC89mj5kYCb4q5HYzXXL5PX+dbgvNiBHE4D9hpzz3MwF+wX4YLLz51MunXX7kA==" saltValue="ENXFkgmqBXhQhO7axeDW/g==" spinCount="100000" sheet="1"/>
  <hyperlinks>
    <hyperlink ref="N30" location="Etusivu!A1" tooltip="Tästä pääset etusivulle" display="Etusivu" xr:uid="{00000000-0004-0000-0200-000000000000}"/>
    <hyperlink ref="N58" location="Etusivu!A1" tooltip="Tästä pääset etusivulle" display="Etusivu" xr:uid="{00000000-0004-0000-0200-000001000000}"/>
    <hyperlink ref="N86" location="Etusivu!A1" tooltip="Tästä pääset etusivulle" display="Etusivu" xr:uid="{00000000-0004-0000-0200-000002000000}"/>
    <hyperlink ref="P30" location="Etusivu!A392" tooltip="Tästä pääset laittamaan olosuhde/haittalisät" display="Haittalisä" xr:uid="{00000000-0004-0000-0200-000003000000}"/>
    <hyperlink ref="P58" location="Etusivu!A392" tooltip="Tästä pääset laittamaan olosuhde/haittalisät" display="Haittalisä" xr:uid="{00000000-0004-0000-0200-000004000000}"/>
    <hyperlink ref="P86" location="Etusivu!A392" tooltip="Tästä pääset laittamaan olosuhde/haittalisät" display="Haittalisä" xr:uid="{00000000-0004-0000-0200-000005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25"/>
  <sheetViews>
    <sheetView zoomScaleNormal="100" workbookViewId="0">
      <selection activeCell="R24" sqref="R24"/>
    </sheetView>
  </sheetViews>
  <sheetFormatPr defaultColWidth="9.140625" defaultRowHeight="12.75" x14ac:dyDescent="0.2"/>
  <cols>
    <col min="1" max="1" width="8.28515625" style="148" customWidth="1"/>
    <col min="2" max="2" width="7.28515625" style="148" customWidth="1"/>
    <col min="3" max="3" width="7.28515625" style="241" customWidth="1"/>
    <col min="4" max="4" width="7.28515625" style="148" customWidth="1"/>
    <col min="5" max="5" width="7.28515625" style="241" customWidth="1"/>
    <col min="6" max="15" width="7.28515625" style="148" customWidth="1"/>
    <col min="16" max="16" width="9.5703125" style="152" customWidth="1"/>
    <col min="17" max="17" width="7.28515625" style="148" customWidth="1"/>
    <col min="18" max="16384" width="9.140625" style="148"/>
  </cols>
  <sheetData>
    <row r="1" spans="1:17" ht="17.25" customHeight="1" x14ac:dyDescent="0.2"/>
    <row r="2" spans="1:17" ht="18.75" customHeight="1" thickBot="1" x14ac:dyDescent="0.25">
      <c r="A2" s="149" t="s">
        <v>397</v>
      </c>
      <c r="B2" s="150"/>
      <c r="C2" s="150"/>
      <c r="D2" s="150"/>
      <c r="E2" s="150"/>
      <c r="F2" s="150"/>
      <c r="G2" s="150"/>
      <c r="H2" s="151"/>
      <c r="I2" s="341"/>
      <c r="J2" s="151"/>
      <c r="K2" s="341"/>
      <c r="L2" s="151"/>
      <c r="M2" s="151"/>
      <c r="N2" s="151"/>
      <c r="O2" s="151"/>
      <c r="P2" s="151"/>
      <c r="Q2" s="151"/>
    </row>
    <row r="3" spans="1:17" ht="13.5" customHeight="1" x14ac:dyDescent="0.2">
      <c r="A3" s="152"/>
      <c r="B3" s="152"/>
      <c r="C3" s="242"/>
      <c r="D3" s="242"/>
      <c r="E3" s="242"/>
      <c r="F3" s="242"/>
      <c r="G3" s="242"/>
      <c r="H3" s="152"/>
      <c r="I3" s="152"/>
      <c r="J3" s="152"/>
      <c r="K3" s="152"/>
      <c r="L3" s="152"/>
      <c r="M3" s="152"/>
      <c r="N3" s="152"/>
      <c r="O3" s="152"/>
      <c r="Q3" s="152"/>
    </row>
    <row r="4" spans="1:17" ht="12.75" customHeight="1" x14ac:dyDescent="0.2">
      <c r="A4" s="152"/>
      <c r="B4" s="152" t="s">
        <v>252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Q4" s="152"/>
    </row>
    <row r="5" spans="1:17" ht="12.75" customHeight="1" x14ac:dyDescent="0.2">
      <c r="A5" s="243" t="s">
        <v>273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3" t="s">
        <v>253</v>
      </c>
      <c r="P5" s="243" t="s">
        <v>254</v>
      </c>
      <c r="Q5" s="243" t="s">
        <v>255</v>
      </c>
    </row>
    <row r="6" spans="1:17" ht="12.75" customHeight="1" x14ac:dyDescent="0.2">
      <c r="A6" s="244">
        <v>100</v>
      </c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245">
        <f>SUM(B6:N6)</f>
        <v>0</v>
      </c>
      <c r="P6" s="357"/>
      <c r="Q6" s="245">
        <f>O6-P6</f>
        <v>0</v>
      </c>
    </row>
    <row r="7" spans="1:17" ht="12.75" customHeight="1" x14ac:dyDescent="0.2">
      <c r="A7" s="244">
        <v>125</v>
      </c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245">
        <f t="shared" ref="O7:O15" si="0">SUM(B7:N7)</f>
        <v>0</v>
      </c>
      <c r="P7" s="357"/>
      <c r="Q7" s="245">
        <f t="shared" ref="Q7:Q15" si="1">O7-P7</f>
        <v>0</v>
      </c>
    </row>
    <row r="8" spans="1:17" ht="12.75" customHeight="1" x14ac:dyDescent="0.2">
      <c r="A8" s="244">
        <v>160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245">
        <f t="shared" si="0"/>
        <v>0</v>
      </c>
      <c r="P8" s="357"/>
      <c r="Q8" s="245">
        <f t="shared" si="1"/>
        <v>0</v>
      </c>
    </row>
    <row r="9" spans="1:17" ht="12.75" customHeight="1" x14ac:dyDescent="0.2">
      <c r="A9" s="244">
        <v>200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245">
        <f t="shared" si="0"/>
        <v>0</v>
      </c>
      <c r="P9" s="357"/>
      <c r="Q9" s="245">
        <f t="shared" si="1"/>
        <v>0</v>
      </c>
    </row>
    <row r="10" spans="1:17" ht="12.75" customHeight="1" x14ac:dyDescent="0.2">
      <c r="A10" s="244">
        <v>250</v>
      </c>
      <c r="B10" s="356"/>
      <c r="C10" s="356"/>
      <c r="D10" s="356"/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245">
        <f t="shared" si="0"/>
        <v>0</v>
      </c>
      <c r="P10" s="357"/>
      <c r="Q10" s="245">
        <f t="shared" si="1"/>
        <v>0</v>
      </c>
    </row>
    <row r="11" spans="1:17" ht="12.75" customHeight="1" x14ac:dyDescent="0.2">
      <c r="A11" s="244">
        <v>315</v>
      </c>
      <c r="B11" s="356"/>
      <c r="C11" s="356"/>
      <c r="D11" s="356"/>
      <c r="E11" s="356"/>
      <c r="F11" s="356"/>
      <c r="G11" s="356"/>
      <c r="H11" s="356"/>
      <c r="I11" s="356"/>
      <c r="J11" s="356"/>
      <c r="K11" s="356"/>
      <c r="L11" s="356"/>
      <c r="M11" s="356"/>
      <c r="N11" s="356"/>
      <c r="O11" s="245">
        <f t="shared" si="0"/>
        <v>0</v>
      </c>
      <c r="P11" s="357"/>
      <c r="Q11" s="245">
        <f t="shared" si="1"/>
        <v>0</v>
      </c>
    </row>
    <row r="12" spans="1:17" ht="12.75" customHeight="1" x14ac:dyDescent="0.2">
      <c r="A12" s="244">
        <v>400</v>
      </c>
      <c r="B12" s="356"/>
      <c r="C12" s="356"/>
      <c r="D12" s="356"/>
      <c r="E12" s="356"/>
      <c r="F12" s="356"/>
      <c r="G12" s="356"/>
      <c r="H12" s="356"/>
      <c r="I12" s="356"/>
      <c r="J12" s="356"/>
      <c r="K12" s="356"/>
      <c r="L12" s="356"/>
      <c r="M12" s="356"/>
      <c r="N12" s="356"/>
      <c r="O12" s="245">
        <f t="shared" si="0"/>
        <v>0</v>
      </c>
      <c r="P12" s="357"/>
      <c r="Q12" s="245">
        <f t="shared" si="1"/>
        <v>0</v>
      </c>
    </row>
    <row r="13" spans="1:17" ht="12.75" customHeight="1" x14ac:dyDescent="0.2">
      <c r="A13" s="244">
        <v>500</v>
      </c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245">
        <f t="shared" si="0"/>
        <v>0</v>
      </c>
      <c r="P13" s="357"/>
      <c r="Q13" s="245">
        <f t="shared" si="1"/>
        <v>0</v>
      </c>
    </row>
    <row r="14" spans="1:17" ht="12.75" customHeight="1" x14ac:dyDescent="0.2">
      <c r="A14" s="244">
        <v>630</v>
      </c>
      <c r="B14" s="356"/>
      <c r="C14" s="356"/>
      <c r="D14" s="356"/>
      <c r="E14" s="356"/>
      <c r="F14" s="356"/>
      <c r="G14" s="356"/>
      <c r="H14" s="356"/>
      <c r="I14" s="356"/>
      <c r="J14" s="356"/>
      <c r="K14" s="356"/>
      <c r="L14" s="356"/>
      <c r="M14" s="356"/>
      <c r="N14" s="356"/>
      <c r="O14" s="245">
        <f t="shared" si="0"/>
        <v>0</v>
      </c>
      <c r="P14" s="357"/>
      <c r="Q14" s="245">
        <f t="shared" si="1"/>
        <v>0</v>
      </c>
    </row>
    <row r="15" spans="1:17" ht="13.5" customHeight="1" x14ac:dyDescent="0.2">
      <c r="A15" s="244">
        <v>800</v>
      </c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245">
        <f t="shared" si="0"/>
        <v>0</v>
      </c>
      <c r="P15" s="357"/>
      <c r="Q15" s="245">
        <f t="shared" si="1"/>
        <v>0</v>
      </c>
    </row>
    <row r="16" spans="1:17" ht="12.75" customHeight="1" x14ac:dyDescent="0.2">
      <c r="A16" s="244">
        <v>1000</v>
      </c>
      <c r="B16" s="356"/>
      <c r="C16" s="356"/>
      <c r="D16" s="356"/>
      <c r="E16" s="356"/>
      <c r="F16" s="356"/>
      <c r="G16" s="356"/>
      <c r="H16" s="356"/>
      <c r="I16" s="356"/>
      <c r="J16" s="356"/>
      <c r="K16" s="356"/>
      <c r="L16" s="356"/>
      <c r="M16" s="356"/>
      <c r="N16" s="356"/>
      <c r="O16" s="245">
        <f>SUM(B16:N16)</f>
        <v>0</v>
      </c>
      <c r="P16" s="357"/>
      <c r="Q16" s="245">
        <f>O16-P16</f>
        <v>0</v>
      </c>
    </row>
    <row r="17" spans="1:17" ht="12.75" customHeight="1" x14ac:dyDescent="0.2">
      <c r="A17" s="244">
        <v>1250</v>
      </c>
      <c r="B17" s="356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245">
        <f t="shared" ref="O17:O22" si="2">SUM(B17:N17)</f>
        <v>0</v>
      </c>
      <c r="P17" s="357"/>
      <c r="Q17" s="245">
        <f t="shared" ref="Q17:Q22" si="3">O17-P17</f>
        <v>0</v>
      </c>
    </row>
    <row r="18" spans="1:17" ht="12.75" customHeight="1" x14ac:dyDescent="0.2">
      <c r="A18" s="244">
        <v>1400</v>
      </c>
      <c r="B18" s="356"/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245">
        <f t="shared" si="2"/>
        <v>0</v>
      </c>
      <c r="P18" s="357"/>
      <c r="Q18" s="245">
        <f t="shared" si="3"/>
        <v>0</v>
      </c>
    </row>
    <row r="19" spans="1:17" ht="12.75" customHeight="1" x14ac:dyDescent="0.2">
      <c r="A19" s="244">
        <v>1600</v>
      </c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245">
        <f t="shared" si="2"/>
        <v>0</v>
      </c>
      <c r="P19" s="357"/>
      <c r="Q19" s="245">
        <f t="shared" si="3"/>
        <v>0</v>
      </c>
    </row>
    <row r="20" spans="1:17" ht="12.75" customHeight="1" x14ac:dyDescent="0.2">
      <c r="A20" s="244">
        <v>1800</v>
      </c>
      <c r="B20" s="356"/>
      <c r="C20" s="356"/>
      <c r="D20" s="356"/>
      <c r="E20" s="356"/>
      <c r="F20" s="356"/>
      <c r="G20" s="356"/>
      <c r="H20" s="356"/>
      <c r="I20" s="356"/>
      <c r="J20" s="356"/>
      <c r="K20" s="356"/>
      <c r="L20" s="356"/>
      <c r="M20" s="356"/>
      <c r="N20" s="356"/>
      <c r="O20" s="245">
        <f t="shared" si="2"/>
        <v>0</v>
      </c>
      <c r="P20" s="357"/>
      <c r="Q20" s="245">
        <f t="shared" si="3"/>
        <v>0</v>
      </c>
    </row>
    <row r="21" spans="1:17" ht="12.75" customHeight="1" x14ac:dyDescent="0.2">
      <c r="A21" s="244">
        <v>2000</v>
      </c>
      <c r="B21" s="356"/>
      <c r="C21" s="356"/>
      <c r="D21" s="356"/>
      <c r="E21" s="356"/>
      <c r="F21" s="356"/>
      <c r="G21" s="356"/>
      <c r="H21" s="356"/>
      <c r="I21" s="356"/>
      <c r="J21" s="356"/>
      <c r="K21" s="356"/>
      <c r="L21" s="356"/>
      <c r="M21" s="356"/>
      <c r="N21" s="356"/>
      <c r="O21" s="245">
        <f t="shared" si="2"/>
        <v>0</v>
      </c>
      <c r="P21" s="357"/>
      <c r="Q21" s="245">
        <f t="shared" si="3"/>
        <v>0</v>
      </c>
    </row>
    <row r="22" spans="1:17" ht="12" customHeight="1" x14ac:dyDescent="0.2">
      <c r="A22" s="244">
        <v>2400</v>
      </c>
      <c r="B22" s="356"/>
      <c r="C22" s="356"/>
      <c r="D22" s="356"/>
      <c r="E22" s="356"/>
      <c r="F22" s="356"/>
      <c r="G22" s="356"/>
      <c r="H22" s="356"/>
      <c r="I22" s="356"/>
      <c r="J22" s="356"/>
      <c r="K22" s="356"/>
      <c r="L22" s="356"/>
      <c r="M22" s="356"/>
      <c r="N22" s="356"/>
      <c r="O22" s="245">
        <f t="shared" si="2"/>
        <v>0</v>
      </c>
      <c r="P22" s="357"/>
      <c r="Q22" s="245">
        <f t="shared" si="3"/>
        <v>0</v>
      </c>
    </row>
    <row r="23" spans="1:17" ht="13.5" customHeight="1" x14ac:dyDescent="0.2">
      <c r="Q23" s="120"/>
    </row>
    <row r="24" spans="1:17" ht="12.75" customHeight="1" x14ac:dyDescent="0.2">
      <c r="Q24" s="120"/>
    </row>
    <row r="25" spans="1:17" ht="12.75" customHeight="1" thickBot="1" x14ac:dyDescent="0.25">
      <c r="A25" s="149" t="s">
        <v>398</v>
      </c>
      <c r="B25" s="123"/>
      <c r="C25" s="246"/>
      <c r="D25" s="123"/>
      <c r="E25" s="246"/>
      <c r="F25" s="123"/>
      <c r="I25" s="339"/>
      <c r="K25" s="339"/>
      <c r="M25" s="369" t="s">
        <v>234</v>
      </c>
      <c r="O25" s="367" t="s">
        <v>299</v>
      </c>
      <c r="Q25" s="120"/>
    </row>
    <row r="26" spans="1:17" ht="12.75" customHeight="1" x14ac:dyDescent="0.2">
      <c r="Q26" s="120"/>
    </row>
    <row r="27" spans="1:17" ht="13.5" customHeight="1" x14ac:dyDescent="0.2">
      <c r="A27" s="152"/>
      <c r="B27" s="152" t="s">
        <v>252</v>
      </c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Q27" s="152"/>
    </row>
    <row r="28" spans="1:17" ht="12.75" customHeight="1" x14ac:dyDescent="0.2">
      <c r="A28" s="243" t="s">
        <v>273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3" t="s">
        <v>253</v>
      </c>
      <c r="P28" s="243" t="s">
        <v>254</v>
      </c>
      <c r="Q28" s="243" t="s">
        <v>255</v>
      </c>
    </row>
    <row r="29" spans="1:17" ht="12.75" customHeight="1" x14ac:dyDescent="0.2">
      <c r="A29" s="244">
        <v>100</v>
      </c>
      <c r="B29" s="356"/>
      <c r="C29" s="356"/>
      <c r="D29" s="356"/>
      <c r="E29" s="356"/>
      <c r="F29" s="356"/>
      <c r="G29" s="356"/>
      <c r="H29" s="356"/>
      <c r="I29" s="356"/>
      <c r="J29" s="356"/>
      <c r="K29" s="356"/>
      <c r="L29" s="356"/>
      <c r="M29" s="356"/>
      <c r="N29" s="356"/>
      <c r="O29" s="245">
        <f>SUM(B29:N29)</f>
        <v>0</v>
      </c>
      <c r="P29" s="357"/>
      <c r="Q29" s="245">
        <f>O29-P29</f>
        <v>0</v>
      </c>
    </row>
    <row r="30" spans="1:17" ht="12.75" customHeight="1" x14ac:dyDescent="0.2">
      <c r="A30" s="244">
        <v>125</v>
      </c>
      <c r="B30" s="356"/>
      <c r="C30" s="356"/>
      <c r="D30" s="356"/>
      <c r="E30" s="356"/>
      <c r="F30" s="356"/>
      <c r="G30" s="356"/>
      <c r="H30" s="356"/>
      <c r="I30" s="356"/>
      <c r="J30" s="356"/>
      <c r="K30" s="356"/>
      <c r="L30" s="356"/>
      <c r="M30" s="356"/>
      <c r="N30" s="356"/>
      <c r="O30" s="245">
        <f t="shared" ref="O30:O37" si="4">SUM(B30:N30)</f>
        <v>0</v>
      </c>
      <c r="P30" s="357"/>
      <c r="Q30" s="245">
        <f t="shared" ref="Q30:Q37" si="5">O30-P30</f>
        <v>0</v>
      </c>
    </row>
    <row r="31" spans="1:17" ht="12.75" customHeight="1" x14ac:dyDescent="0.2">
      <c r="A31" s="244">
        <v>160</v>
      </c>
      <c r="B31" s="356"/>
      <c r="C31" s="356"/>
      <c r="D31" s="356"/>
      <c r="E31" s="356"/>
      <c r="F31" s="356"/>
      <c r="G31" s="356"/>
      <c r="H31" s="356"/>
      <c r="I31" s="356"/>
      <c r="J31" s="356"/>
      <c r="K31" s="356"/>
      <c r="L31" s="356"/>
      <c r="M31" s="356"/>
      <c r="N31" s="356"/>
      <c r="O31" s="245">
        <f t="shared" si="4"/>
        <v>0</v>
      </c>
      <c r="P31" s="357"/>
      <c r="Q31" s="245">
        <f t="shared" si="5"/>
        <v>0</v>
      </c>
    </row>
    <row r="32" spans="1:17" ht="12.75" customHeight="1" x14ac:dyDescent="0.2">
      <c r="A32" s="244">
        <v>200</v>
      </c>
      <c r="B32" s="356"/>
      <c r="C32" s="356"/>
      <c r="D32" s="356"/>
      <c r="E32" s="356"/>
      <c r="F32" s="356"/>
      <c r="G32" s="356"/>
      <c r="H32" s="356"/>
      <c r="I32" s="356"/>
      <c r="J32" s="356"/>
      <c r="K32" s="356"/>
      <c r="L32" s="356"/>
      <c r="M32" s="356"/>
      <c r="N32" s="356"/>
      <c r="O32" s="245">
        <f t="shared" si="4"/>
        <v>0</v>
      </c>
      <c r="P32" s="357"/>
      <c r="Q32" s="245">
        <f t="shared" si="5"/>
        <v>0</v>
      </c>
    </row>
    <row r="33" spans="1:17" ht="12.75" customHeight="1" x14ac:dyDescent="0.2">
      <c r="A33" s="244">
        <v>250</v>
      </c>
      <c r="B33" s="356"/>
      <c r="C33" s="356"/>
      <c r="D33" s="356"/>
      <c r="E33" s="356"/>
      <c r="F33" s="356"/>
      <c r="G33" s="356"/>
      <c r="H33" s="356"/>
      <c r="I33" s="356"/>
      <c r="J33" s="356"/>
      <c r="K33" s="356"/>
      <c r="L33" s="356"/>
      <c r="M33" s="356"/>
      <c r="N33" s="356"/>
      <c r="O33" s="245">
        <f t="shared" si="4"/>
        <v>0</v>
      </c>
      <c r="P33" s="357"/>
      <c r="Q33" s="245">
        <f t="shared" si="5"/>
        <v>0</v>
      </c>
    </row>
    <row r="34" spans="1:17" ht="12.75" customHeight="1" x14ac:dyDescent="0.2">
      <c r="A34" s="244">
        <v>315</v>
      </c>
      <c r="B34" s="356"/>
      <c r="C34" s="356"/>
      <c r="D34" s="356"/>
      <c r="E34" s="356"/>
      <c r="F34" s="356"/>
      <c r="G34" s="356"/>
      <c r="H34" s="356"/>
      <c r="I34" s="356"/>
      <c r="J34" s="356"/>
      <c r="K34" s="356"/>
      <c r="L34" s="356"/>
      <c r="M34" s="356"/>
      <c r="N34" s="356"/>
      <c r="O34" s="245">
        <f t="shared" si="4"/>
        <v>0</v>
      </c>
      <c r="P34" s="357"/>
      <c r="Q34" s="245">
        <f t="shared" si="5"/>
        <v>0</v>
      </c>
    </row>
    <row r="35" spans="1:17" ht="12.75" customHeight="1" x14ac:dyDescent="0.2">
      <c r="A35" s="244">
        <v>400</v>
      </c>
      <c r="B35" s="356"/>
      <c r="C35" s="356"/>
      <c r="D35" s="356"/>
      <c r="E35" s="356"/>
      <c r="F35" s="356"/>
      <c r="G35" s="356"/>
      <c r="H35" s="356"/>
      <c r="I35" s="356"/>
      <c r="J35" s="356"/>
      <c r="K35" s="356"/>
      <c r="L35" s="356"/>
      <c r="M35" s="356"/>
      <c r="N35" s="356"/>
      <c r="O35" s="245">
        <f t="shared" si="4"/>
        <v>0</v>
      </c>
      <c r="P35" s="357"/>
      <c r="Q35" s="245">
        <f t="shared" si="5"/>
        <v>0</v>
      </c>
    </row>
    <row r="36" spans="1:17" ht="12.75" customHeight="1" x14ac:dyDescent="0.2">
      <c r="A36" s="244">
        <v>500</v>
      </c>
      <c r="B36" s="356"/>
      <c r="C36" s="356"/>
      <c r="D36" s="356"/>
      <c r="E36" s="356"/>
      <c r="F36" s="356"/>
      <c r="G36" s="356"/>
      <c r="H36" s="356"/>
      <c r="I36" s="356"/>
      <c r="J36" s="356"/>
      <c r="K36" s="356"/>
      <c r="L36" s="356"/>
      <c r="M36" s="356"/>
      <c r="N36" s="356"/>
      <c r="O36" s="245">
        <f t="shared" si="4"/>
        <v>0</v>
      </c>
      <c r="P36" s="357"/>
      <c r="Q36" s="245">
        <f t="shared" si="5"/>
        <v>0</v>
      </c>
    </row>
    <row r="37" spans="1:17" ht="12.75" customHeight="1" x14ac:dyDescent="0.2">
      <c r="A37" s="244">
        <v>630</v>
      </c>
      <c r="B37" s="356"/>
      <c r="C37" s="356"/>
      <c r="D37" s="356"/>
      <c r="E37" s="356"/>
      <c r="F37" s="356"/>
      <c r="G37" s="356"/>
      <c r="H37" s="356"/>
      <c r="I37" s="356"/>
      <c r="J37" s="356"/>
      <c r="K37" s="356"/>
      <c r="L37" s="356"/>
      <c r="M37" s="356"/>
      <c r="N37" s="356"/>
      <c r="O37" s="245">
        <f t="shared" si="4"/>
        <v>0</v>
      </c>
      <c r="P37" s="357"/>
      <c r="Q37" s="245">
        <f t="shared" si="5"/>
        <v>0</v>
      </c>
    </row>
    <row r="38" spans="1:17" ht="12.75" customHeight="1" x14ac:dyDescent="0.2">
      <c r="C38" s="148"/>
      <c r="E38" s="148"/>
    </row>
    <row r="39" spans="1:17" ht="12.75" customHeight="1" x14ac:dyDescent="0.2">
      <c r="C39" s="148"/>
      <c r="E39" s="148"/>
    </row>
    <row r="40" spans="1:17" ht="12.75" customHeight="1" x14ac:dyDescent="0.2">
      <c r="C40" s="148"/>
      <c r="E40" s="148"/>
    </row>
    <row r="41" spans="1:17" ht="12.75" customHeight="1" x14ac:dyDescent="0.2">
      <c r="C41" s="148"/>
      <c r="E41" s="148"/>
    </row>
    <row r="42" spans="1:17" ht="12" customHeight="1" x14ac:dyDescent="0.2">
      <c r="C42" s="148"/>
      <c r="E42" s="148"/>
    </row>
    <row r="43" spans="1:17" x14ac:dyDescent="0.2">
      <c r="C43" s="148"/>
      <c r="E43" s="148"/>
    </row>
    <row r="44" spans="1:17" ht="12.75" customHeight="1" thickBot="1" x14ac:dyDescent="0.25">
      <c r="A44" s="149" t="s">
        <v>424</v>
      </c>
      <c r="B44" s="150"/>
      <c r="C44" s="150"/>
      <c r="D44" s="150"/>
      <c r="E44" s="150"/>
      <c r="F44" s="150"/>
      <c r="G44" s="151"/>
      <c r="H44" s="151"/>
      <c r="I44" s="151"/>
      <c r="J44" s="151"/>
      <c r="K44" s="151"/>
      <c r="L44" s="151"/>
      <c r="M44" s="339"/>
      <c r="N44" s="151"/>
      <c r="O44" s="339"/>
      <c r="P44" s="151"/>
      <c r="Q44" s="151"/>
    </row>
    <row r="45" spans="1:17" ht="12.75" customHeight="1" x14ac:dyDescent="0.2">
      <c r="A45" s="152"/>
      <c r="B45" s="152"/>
      <c r="C45" s="242"/>
      <c r="D45" s="242"/>
      <c r="E45" s="242"/>
      <c r="F45" s="242"/>
      <c r="G45" s="242"/>
      <c r="H45" s="152"/>
      <c r="I45" s="152"/>
      <c r="J45" s="152"/>
      <c r="K45" s="152"/>
      <c r="L45" s="152"/>
      <c r="M45" s="152"/>
      <c r="N45" s="152"/>
      <c r="O45" s="152"/>
      <c r="Q45" s="152"/>
    </row>
    <row r="46" spans="1:17" ht="14.25" customHeight="1" x14ac:dyDescent="0.2">
      <c r="A46" s="152"/>
      <c r="B46" s="152" t="s">
        <v>252</v>
      </c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Q46" s="152"/>
    </row>
    <row r="47" spans="1:17" ht="12.75" customHeight="1" x14ac:dyDescent="0.2">
      <c r="A47" s="243" t="s">
        <v>273</v>
      </c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3" t="s">
        <v>253</v>
      </c>
      <c r="P47" s="243" t="s">
        <v>254</v>
      </c>
      <c r="Q47" s="243" t="s">
        <v>255</v>
      </c>
    </row>
    <row r="48" spans="1:17" ht="12.75" customHeight="1" x14ac:dyDescent="0.2">
      <c r="A48" s="244">
        <v>100</v>
      </c>
      <c r="B48" s="356"/>
      <c r="C48" s="356"/>
      <c r="D48" s="356"/>
      <c r="E48" s="356"/>
      <c r="F48" s="356"/>
      <c r="G48" s="356"/>
      <c r="H48" s="356"/>
      <c r="I48" s="356"/>
      <c r="J48" s="356"/>
      <c r="K48" s="356"/>
      <c r="L48" s="356"/>
      <c r="M48" s="356"/>
      <c r="N48" s="356"/>
      <c r="O48" s="245">
        <f>SUM(B48:N48)</f>
        <v>0</v>
      </c>
      <c r="P48" s="357"/>
      <c r="Q48" s="245">
        <f>O48-P48</f>
        <v>0</v>
      </c>
    </row>
    <row r="49" spans="1:17" ht="12.75" customHeight="1" x14ac:dyDescent="0.2">
      <c r="A49" s="244">
        <v>125</v>
      </c>
      <c r="B49" s="356"/>
      <c r="C49" s="356"/>
      <c r="D49" s="356"/>
      <c r="E49" s="356"/>
      <c r="F49" s="356"/>
      <c r="G49" s="356"/>
      <c r="H49" s="356"/>
      <c r="I49" s="356"/>
      <c r="J49" s="356"/>
      <c r="K49" s="356"/>
      <c r="L49" s="356"/>
      <c r="M49" s="356"/>
      <c r="N49" s="356"/>
      <c r="O49" s="245">
        <f t="shared" ref="O49:O57" si="6">SUM(B49:N49)</f>
        <v>0</v>
      </c>
      <c r="P49" s="357"/>
      <c r="Q49" s="245">
        <f t="shared" ref="Q49:Q57" si="7">O49-P49</f>
        <v>0</v>
      </c>
    </row>
    <row r="50" spans="1:17" ht="12.75" customHeight="1" x14ac:dyDescent="0.2">
      <c r="A50" s="244">
        <v>160</v>
      </c>
      <c r="B50" s="356"/>
      <c r="C50" s="356"/>
      <c r="D50" s="356"/>
      <c r="E50" s="356"/>
      <c r="F50" s="356"/>
      <c r="G50" s="356"/>
      <c r="H50" s="356"/>
      <c r="I50" s="356"/>
      <c r="J50" s="356"/>
      <c r="K50" s="356"/>
      <c r="L50" s="356"/>
      <c r="M50" s="356"/>
      <c r="N50" s="356"/>
      <c r="O50" s="245">
        <f t="shared" si="6"/>
        <v>0</v>
      </c>
      <c r="P50" s="357"/>
      <c r="Q50" s="245">
        <f t="shared" si="7"/>
        <v>0</v>
      </c>
    </row>
    <row r="51" spans="1:17" ht="12.75" customHeight="1" x14ac:dyDescent="0.2">
      <c r="A51" s="244">
        <v>200</v>
      </c>
      <c r="B51" s="356"/>
      <c r="C51" s="356"/>
      <c r="D51" s="356"/>
      <c r="E51" s="356"/>
      <c r="F51" s="356"/>
      <c r="G51" s="356"/>
      <c r="H51" s="356"/>
      <c r="I51" s="356"/>
      <c r="J51" s="356"/>
      <c r="K51" s="356"/>
      <c r="L51" s="356"/>
      <c r="M51" s="356"/>
      <c r="N51" s="356"/>
      <c r="O51" s="245">
        <f t="shared" si="6"/>
        <v>0</v>
      </c>
      <c r="P51" s="357"/>
      <c r="Q51" s="245">
        <f t="shared" si="7"/>
        <v>0</v>
      </c>
    </row>
    <row r="52" spans="1:17" ht="12.75" customHeight="1" x14ac:dyDescent="0.2">
      <c r="A52" s="244">
        <v>250</v>
      </c>
      <c r="B52" s="356"/>
      <c r="C52" s="356"/>
      <c r="D52" s="356"/>
      <c r="E52" s="356"/>
      <c r="F52" s="356"/>
      <c r="G52" s="356"/>
      <c r="H52" s="356"/>
      <c r="I52" s="356"/>
      <c r="J52" s="356"/>
      <c r="K52" s="356"/>
      <c r="L52" s="356"/>
      <c r="M52" s="356"/>
      <c r="N52" s="356"/>
      <c r="O52" s="245">
        <f t="shared" si="6"/>
        <v>0</v>
      </c>
      <c r="P52" s="357"/>
      <c r="Q52" s="245">
        <f t="shared" si="7"/>
        <v>0</v>
      </c>
    </row>
    <row r="53" spans="1:17" ht="12.75" customHeight="1" x14ac:dyDescent="0.2">
      <c r="A53" s="244">
        <v>315</v>
      </c>
      <c r="B53" s="356"/>
      <c r="C53" s="356"/>
      <c r="D53" s="356"/>
      <c r="E53" s="356"/>
      <c r="F53" s="356"/>
      <c r="G53" s="356"/>
      <c r="H53" s="356"/>
      <c r="I53" s="356"/>
      <c r="J53" s="356"/>
      <c r="K53" s="356"/>
      <c r="L53" s="356"/>
      <c r="M53" s="356"/>
      <c r="N53" s="356"/>
      <c r="O53" s="245">
        <f t="shared" si="6"/>
        <v>0</v>
      </c>
      <c r="P53" s="357"/>
      <c r="Q53" s="245">
        <f t="shared" si="7"/>
        <v>0</v>
      </c>
    </row>
    <row r="54" spans="1:17" ht="12.75" customHeight="1" x14ac:dyDescent="0.2">
      <c r="A54" s="244">
        <v>400</v>
      </c>
      <c r="B54" s="356"/>
      <c r="C54" s="356"/>
      <c r="D54" s="356"/>
      <c r="E54" s="356"/>
      <c r="F54" s="356"/>
      <c r="G54" s="356"/>
      <c r="H54" s="356"/>
      <c r="I54" s="356"/>
      <c r="J54" s="356"/>
      <c r="K54" s="356"/>
      <c r="L54" s="356"/>
      <c r="M54" s="356"/>
      <c r="N54" s="356"/>
      <c r="O54" s="245">
        <f t="shared" si="6"/>
        <v>0</v>
      </c>
      <c r="P54" s="357"/>
      <c r="Q54" s="245">
        <f t="shared" si="7"/>
        <v>0</v>
      </c>
    </row>
    <row r="55" spans="1:17" ht="12.75" customHeight="1" x14ac:dyDescent="0.2">
      <c r="A55" s="244">
        <v>500</v>
      </c>
      <c r="B55" s="356"/>
      <c r="C55" s="356"/>
      <c r="D55" s="356"/>
      <c r="E55" s="356"/>
      <c r="F55" s="356"/>
      <c r="G55" s="356"/>
      <c r="H55" s="356"/>
      <c r="I55" s="356"/>
      <c r="J55" s="356"/>
      <c r="K55" s="356"/>
      <c r="L55" s="356"/>
      <c r="M55" s="356"/>
      <c r="N55" s="356"/>
      <c r="O55" s="245">
        <f t="shared" si="6"/>
        <v>0</v>
      </c>
      <c r="P55" s="357"/>
      <c r="Q55" s="245">
        <f t="shared" si="7"/>
        <v>0</v>
      </c>
    </row>
    <row r="56" spans="1:17" ht="12.75" customHeight="1" x14ac:dyDescent="0.2">
      <c r="A56" s="244">
        <v>630</v>
      </c>
      <c r="B56" s="356"/>
      <c r="C56" s="356"/>
      <c r="D56" s="356"/>
      <c r="E56" s="356"/>
      <c r="F56" s="356"/>
      <c r="G56" s="356"/>
      <c r="H56" s="356"/>
      <c r="I56" s="356"/>
      <c r="J56" s="356"/>
      <c r="K56" s="356"/>
      <c r="L56" s="356"/>
      <c r="M56" s="356"/>
      <c r="N56" s="356"/>
      <c r="O56" s="245">
        <f t="shared" si="6"/>
        <v>0</v>
      </c>
      <c r="P56" s="357"/>
      <c r="Q56" s="245">
        <f t="shared" si="7"/>
        <v>0</v>
      </c>
    </row>
    <row r="57" spans="1:17" ht="12.75" customHeight="1" x14ac:dyDescent="0.2">
      <c r="A57" s="244">
        <v>800</v>
      </c>
      <c r="B57" s="356"/>
      <c r="C57" s="356"/>
      <c r="D57" s="356"/>
      <c r="E57" s="356"/>
      <c r="F57" s="356"/>
      <c r="G57" s="356"/>
      <c r="H57" s="356"/>
      <c r="I57" s="356"/>
      <c r="J57" s="356"/>
      <c r="K57" s="356"/>
      <c r="L57" s="356"/>
      <c r="M57" s="356"/>
      <c r="N57" s="356"/>
      <c r="O57" s="245">
        <f t="shared" si="6"/>
        <v>0</v>
      </c>
      <c r="P57" s="357"/>
      <c r="Q57" s="245">
        <f t="shared" si="7"/>
        <v>0</v>
      </c>
    </row>
    <row r="58" spans="1:17" ht="12.75" customHeight="1" x14ac:dyDescent="0.2">
      <c r="A58" s="244">
        <v>1000</v>
      </c>
      <c r="B58" s="356"/>
      <c r="C58" s="356"/>
      <c r="D58" s="356"/>
      <c r="E58" s="356"/>
      <c r="F58" s="356"/>
      <c r="G58" s="356"/>
      <c r="H58" s="356"/>
      <c r="I58" s="356"/>
      <c r="J58" s="356"/>
      <c r="K58" s="356"/>
      <c r="L58" s="356"/>
      <c r="M58" s="356"/>
      <c r="N58" s="356"/>
      <c r="O58" s="245">
        <f>SUM(B58:N58)</f>
        <v>0</v>
      </c>
      <c r="P58" s="357"/>
      <c r="Q58" s="245">
        <f>O58-P58</f>
        <v>0</v>
      </c>
    </row>
    <row r="59" spans="1:17" ht="12.75" customHeight="1" x14ac:dyDescent="0.2">
      <c r="A59" s="244">
        <v>1250</v>
      </c>
      <c r="B59" s="356"/>
      <c r="C59" s="356"/>
      <c r="D59" s="356"/>
      <c r="E59" s="356"/>
      <c r="F59" s="356"/>
      <c r="G59" s="356"/>
      <c r="H59" s="356"/>
      <c r="I59" s="356"/>
      <c r="J59" s="356"/>
      <c r="K59" s="356"/>
      <c r="L59" s="356"/>
      <c r="M59" s="356"/>
      <c r="N59" s="356"/>
      <c r="O59" s="245">
        <f t="shared" ref="O59:O64" si="8">SUM(B59:N59)</f>
        <v>0</v>
      </c>
      <c r="P59" s="357"/>
      <c r="Q59" s="245">
        <f t="shared" ref="Q59:Q64" si="9">O59-P59</f>
        <v>0</v>
      </c>
    </row>
    <row r="60" spans="1:17" ht="12.75" customHeight="1" x14ac:dyDescent="0.2">
      <c r="A60" s="244">
        <v>1400</v>
      </c>
      <c r="B60" s="356"/>
      <c r="C60" s="356"/>
      <c r="D60" s="356"/>
      <c r="E60" s="356"/>
      <c r="F60" s="356"/>
      <c r="G60" s="356"/>
      <c r="H60" s="356"/>
      <c r="I60" s="356"/>
      <c r="J60" s="356"/>
      <c r="K60" s="356"/>
      <c r="L60" s="356"/>
      <c r="M60" s="356"/>
      <c r="N60" s="356"/>
      <c r="O60" s="245">
        <f t="shared" si="8"/>
        <v>0</v>
      </c>
      <c r="P60" s="357"/>
      <c r="Q60" s="245">
        <f t="shared" si="9"/>
        <v>0</v>
      </c>
    </row>
    <row r="61" spans="1:17" ht="12.75" customHeight="1" x14ac:dyDescent="0.2">
      <c r="A61" s="244">
        <v>1600</v>
      </c>
      <c r="B61" s="356"/>
      <c r="C61" s="356"/>
      <c r="D61" s="356"/>
      <c r="E61" s="356"/>
      <c r="F61" s="356"/>
      <c r="G61" s="356"/>
      <c r="H61" s="356"/>
      <c r="I61" s="356"/>
      <c r="J61" s="356"/>
      <c r="K61" s="356"/>
      <c r="L61" s="356"/>
      <c r="M61" s="356"/>
      <c r="N61" s="356"/>
      <c r="O61" s="245">
        <f t="shared" si="8"/>
        <v>0</v>
      </c>
      <c r="P61" s="357"/>
      <c r="Q61" s="245">
        <f t="shared" si="9"/>
        <v>0</v>
      </c>
    </row>
    <row r="62" spans="1:17" ht="12.75" customHeight="1" x14ac:dyDescent="0.2">
      <c r="A62" s="244">
        <v>1800</v>
      </c>
      <c r="B62" s="356"/>
      <c r="C62" s="356"/>
      <c r="D62" s="356"/>
      <c r="E62" s="356"/>
      <c r="F62" s="356"/>
      <c r="G62" s="356"/>
      <c r="H62" s="356"/>
      <c r="I62" s="356"/>
      <c r="J62" s="356"/>
      <c r="K62" s="356"/>
      <c r="L62" s="356"/>
      <c r="M62" s="356"/>
      <c r="N62" s="356"/>
      <c r="O62" s="245">
        <f t="shared" si="8"/>
        <v>0</v>
      </c>
      <c r="P62" s="357"/>
      <c r="Q62" s="245">
        <f t="shared" si="9"/>
        <v>0</v>
      </c>
    </row>
    <row r="63" spans="1:17" ht="12.75" customHeight="1" x14ac:dyDescent="0.2">
      <c r="A63" s="244">
        <v>2000</v>
      </c>
      <c r="B63" s="356"/>
      <c r="C63" s="356"/>
      <c r="D63" s="356"/>
      <c r="E63" s="356"/>
      <c r="F63" s="356"/>
      <c r="G63" s="356"/>
      <c r="H63" s="356"/>
      <c r="I63" s="356"/>
      <c r="J63" s="356"/>
      <c r="K63" s="356"/>
      <c r="L63" s="356"/>
      <c r="M63" s="356"/>
      <c r="N63" s="356"/>
      <c r="O63" s="245">
        <f t="shared" si="8"/>
        <v>0</v>
      </c>
      <c r="P63" s="357"/>
      <c r="Q63" s="245">
        <f t="shared" si="9"/>
        <v>0</v>
      </c>
    </row>
    <row r="64" spans="1:17" ht="12.75" customHeight="1" x14ac:dyDescent="0.2">
      <c r="A64" s="244">
        <v>2400</v>
      </c>
      <c r="B64" s="356"/>
      <c r="C64" s="356"/>
      <c r="D64" s="356"/>
      <c r="E64" s="356"/>
      <c r="F64" s="356"/>
      <c r="G64" s="356"/>
      <c r="H64" s="356"/>
      <c r="I64" s="356"/>
      <c r="J64" s="356"/>
      <c r="K64" s="356"/>
      <c r="L64" s="356"/>
      <c r="M64" s="356"/>
      <c r="N64" s="356"/>
      <c r="O64" s="245">
        <f t="shared" si="8"/>
        <v>0</v>
      </c>
      <c r="P64" s="357"/>
      <c r="Q64" s="245">
        <f t="shared" si="9"/>
        <v>0</v>
      </c>
    </row>
    <row r="65" spans="1:17" ht="12.75" customHeight="1" x14ac:dyDescent="0.2">
      <c r="Q65" s="120"/>
    </row>
    <row r="66" spans="1:17" x14ac:dyDescent="0.2">
      <c r="Q66" s="120"/>
    </row>
    <row r="67" spans="1:17" ht="13.5" thickBot="1" x14ac:dyDescent="0.25">
      <c r="A67" s="149" t="s">
        <v>425</v>
      </c>
      <c r="B67" s="123"/>
      <c r="C67" s="246"/>
      <c r="D67" s="123"/>
      <c r="E67" s="246"/>
      <c r="F67" s="120"/>
      <c r="G67" s="120"/>
      <c r="H67" s="120"/>
      <c r="I67" s="120"/>
      <c r="J67" s="120"/>
      <c r="K67" s="120"/>
      <c r="M67" s="369" t="s">
        <v>234</v>
      </c>
      <c r="O67" s="367" t="s">
        <v>299</v>
      </c>
      <c r="Q67" s="120"/>
    </row>
    <row r="68" spans="1:17" x14ac:dyDescent="0.2">
      <c r="Q68" s="120"/>
    </row>
    <row r="69" spans="1:17" x14ac:dyDescent="0.2">
      <c r="A69" s="152"/>
      <c r="B69" s="152" t="s">
        <v>252</v>
      </c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Q69" s="152"/>
    </row>
    <row r="70" spans="1:17" x14ac:dyDescent="0.2">
      <c r="A70" s="243" t="s">
        <v>273</v>
      </c>
      <c r="B70" s="247"/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247"/>
      <c r="O70" s="243" t="s">
        <v>253</v>
      </c>
      <c r="P70" s="243" t="s">
        <v>254</v>
      </c>
      <c r="Q70" s="243" t="s">
        <v>255</v>
      </c>
    </row>
    <row r="71" spans="1:17" x14ac:dyDescent="0.2">
      <c r="A71" s="244">
        <v>100</v>
      </c>
      <c r="B71" s="356"/>
      <c r="C71" s="356"/>
      <c r="D71" s="356"/>
      <c r="E71" s="356"/>
      <c r="F71" s="356"/>
      <c r="G71" s="356"/>
      <c r="H71" s="356"/>
      <c r="I71" s="356"/>
      <c r="J71" s="356"/>
      <c r="K71" s="356"/>
      <c r="L71" s="356"/>
      <c r="M71" s="356"/>
      <c r="N71" s="356"/>
      <c r="O71" s="245">
        <f>SUM(B71:N71)</f>
        <v>0</v>
      </c>
      <c r="P71" s="357"/>
      <c r="Q71" s="245">
        <f>O71-P71</f>
        <v>0</v>
      </c>
    </row>
    <row r="72" spans="1:17" x14ac:dyDescent="0.2">
      <c r="A72" s="244">
        <v>125</v>
      </c>
      <c r="B72" s="356"/>
      <c r="C72" s="356"/>
      <c r="D72" s="356"/>
      <c r="E72" s="356"/>
      <c r="F72" s="356"/>
      <c r="G72" s="356"/>
      <c r="H72" s="356"/>
      <c r="I72" s="356"/>
      <c r="J72" s="356"/>
      <c r="K72" s="356"/>
      <c r="L72" s="356"/>
      <c r="M72" s="356"/>
      <c r="N72" s="356"/>
      <c r="O72" s="245">
        <f t="shared" ref="O72:O77" si="10">SUM(B72:N72)</f>
        <v>0</v>
      </c>
      <c r="P72" s="357"/>
      <c r="Q72" s="245">
        <f t="shared" ref="Q72:Q77" si="11">O72-P72</f>
        <v>0</v>
      </c>
    </row>
    <row r="73" spans="1:17" x14ac:dyDescent="0.2">
      <c r="A73" s="244">
        <v>160</v>
      </c>
      <c r="B73" s="356"/>
      <c r="C73" s="356"/>
      <c r="D73" s="356"/>
      <c r="E73" s="356"/>
      <c r="F73" s="356"/>
      <c r="G73" s="356"/>
      <c r="H73" s="356"/>
      <c r="I73" s="356"/>
      <c r="J73" s="356"/>
      <c r="K73" s="356"/>
      <c r="L73" s="356"/>
      <c r="M73" s="356"/>
      <c r="N73" s="356"/>
      <c r="O73" s="245">
        <f t="shared" si="10"/>
        <v>0</v>
      </c>
      <c r="P73" s="357"/>
      <c r="Q73" s="245">
        <f t="shared" si="11"/>
        <v>0</v>
      </c>
    </row>
    <row r="74" spans="1:17" x14ac:dyDescent="0.2">
      <c r="A74" s="244">
        <v>200</v>
      </c>
      <c r="B74" s="356"/>
      <c r="C74" s="356"/>
      <c r="D74" s="356"/>
      <c r="E74" s="356"/>
      <c r="F74" s="356"/>
      <c r="G74" s="356"/>
      <c r="H74" s="356"/>
      <c r="I74" s="356"/>
      <c r="J74" s="356"/>
      <c r="K74" s="356"/>
      <c r="L74" s="356"/>
      <c r="M74" s="356"/>
      <c r="N74" s="356"/>
      <c r="O74" s="245">
        <f t="shared" si="10"/>
        <v>0</v>
      </c>
      <c r="P74" s="357"/>
      <c r="Q74" s="245">
        <f t="shared" si="11"/>
        <v>0</v>
      </c>
    </row>
    <row r="75" spans="1:17" x14ac:dyDescent="0.2">
      <c r="A75" s="244">
        <v>250</v>
      </c>
      <c r="B75" s="356"/>
      <c r="C75" s="356"/>
      <c r="D75" s="356"/>
      <c r="E75" s="356"/>
      <c r="F75" s="356"/>
      <c r="G75" s="356"/>
      <c r="H75" s="356"/>
      <c r="I75" s="356"/>
      <c r="J75" s="356"/>
      <c r="K75" s="356"/>
      <c r="L75" s="356"/>
      <c r="M75" s="356"/>
      <c r="N75" s="356"/>
      <c r="O75" s="245">
        <f t="shared" si="10"/>
        <v>0</v>
      </c>
      <c r="P75" s="357"/>
      <c r="Q75" s="245">
        <f t="shared" si="11"/>
        <v>0</v>
      </c>
    </row>
    <row r="76" spans="1:17" x14ac:dyDescent="0.2">
      <c r="A76" s="244">
        <v>315</v>
      </c>
      <c r="B76" s="356"/>
      <c r="C76" s="356"/>
      <c r="D76" s="356"/>
      <c r="E76" s="356"/>
      <c r="F76" s="356"/>
      <c r="G76" s="356"/>
      <c r="H76" s="356"/>
      <c r="I76" s="356"/>
      <c r="J76" s="356"/>
      <c r="K76" s="356"/>
      <c r="L76" s="356"/>
      <c r="M76" s="356"/>
      <c r="N76" s="356"/>
      <c r="O76" s="245">
        <f t="shared" si="10"/>
        <v>0</v>
      </c>
      <c r="P76" s="357"/>
      <c r="Q76" s="245">
        <f t="shared" si="11"/>
        <v>0</v>
      </c>
    </row>
    <row r="77" spans="1:17" x14ac:dyDescent="0.2">
      <c r="A77" s="244">
        <v>400</v>
      </c>
      <c r="B77" s="356"/>
      <c r="C77" s="356"/>
      <c r="D77" s="356"/>
      <c r="E77" s="356"/>
      <c r="F77" s="356"/>
      <c r="G77" s="356"/>
      <c r="H77" s="356"/>
      <c r="I77" s="356"/>
      <c r="J77" s="356"/>
      <c r="K77" s="356"/>
      <c r="L77" s="356"/>
      <c r="M77" s="356"/>
      <c r="N77" s="356"/>
      <c r="O77" s="245">
        <f t="shared" si="10"/>
        <v>0</v>
      </c>
      <c r="P77" s="357"/>
      <c r="Q77" s="245">
        <f t="shared" si="11"/>
        <v>0</v>
      </c>
    </row>
    <row r="78" spans="1:17" x14ac:dyDescent="0.2">
      <c r="A78" s="407">
        <v>500</v>
      </c>
      <c r="B78" s="356"/>
      <c r="C78" s="356"/>
      <c r="D78" s="356"/>
      <c r="E78" s="356"/>
      <c r="F78" s="356"/>
      <c r="G78" s="356"/>
      <c r="H78" s="356"/>
      <c r="I78" s="356"/>
      <c r="J78" s="356"/>
      <c r="K78" s="356"/>
      <c r="L78" s="356"/>
      <c r="M78" s="356"/>
      <c r="N78" s="356"/>
      <c r="O78" s="245">
        <f>SUM(B78:N78)</f>
        <v>0</v>
      </c>
      <c r="P78" s="357"/>
      <c r="Q78" s="245">
        <f>O78-P78</f>
        <v>0</v>
      </c>
    </row>
    <row r="79" spans="1:17" x14ac:dyDescent="0.2">
      <c r="A79" s="407">
        <v>630</v>
      </c>
      <c r="B79" s="356"/>
      <c r="C79" s="356"/>
      <c r="D79" s="356"/>
      <c r="E79" s="356"/>
      <c r="F79" s="356"/>
      <c r="G79" s="356"/>
      <c r="H79" s="356"/>
      <c r="I79" s="356"/>
      <c r="J79" s="356"/>
      <c r="K79" s="356"/>
      <c r="L79" s="356"/>
      <c r="M79" s="356"/>
      <c r="N79" s="356"/>
      <c r="O79" s="245">
        <f>SUM(B79:N79)</f>
        <v>0</v>
      </c>
      <c r="P79" s="357"/>
      <c r="Q79" s="245">
        <f>O79-P79</f>
        <v>0</v>
      </c>
    </row>
    <row r="80" spans="1:17" x14ac:dyDescent="0.2">
      <c r="A80" s="407">
        <v>800</v>
      </c>
      <c r="B80" s="356"/>
      <c r="C80" s="356"/>
      <c r="D80" s="356"/>
      <c r="E80" s="356"/>
      <c r="F80" s="356"/>
      <c r="G80" s="356"/>
      <c r="H80" s="356"/>
      <c r="I80" s="356"/>
      <c r="J80" s="356"/>
      <c r="K80" s="356"/>
      <c r="L80" s="356"/>
      <c r="M80" s="356"/>
      <c r="N80" s="356"/>
      <c r="O80" s="245">
        <f>SUM(B80:N80)</f>
        <v>0</v>
      </c>
      <c r="P80" s="357"/>
      <c r="Q80" s="245">
        <f>O80-P80</f>
        <v>0</v>
      </c>
    </row>
    <row r="81" spans="1:17" x14ac:dyDescent="0.2">
      <c r="A81" s="407">
        <v>1000</v>
      </c>
      <c r="B81" s="356"/>
      <c r="C81" s="356"/>
      <c r="D81" s="356"/>
      <c r="E81" s="356"/>
      <c r="F81" s="356"/>
      <c r="G81" s="356"/>
      <c r="H81" s="356"/>
      <c r="I81" s="356"/>
      <c r="J81" s="356"/>
      <c r="K81" s="356"/>
      <c r="L81" s="356"/>
      <c r="M81" s="356"/>
      <c r="N81" s="356"/>
      <c r="O81" s="245">
        <f>SUM(B81:N81)</f>
        <v>0</v>
      </c>
      <c r="P81" s="357"/>
      <c r="Q81" s="245">
        <f>O81-P81</f>
        <v>0</v>
      </c>
    </row>
    <row r="82" spans="1:17" x14ac:dyDescent="0.2">
      <c r="A82" s="407">
        <v>1250</v>
      </c>
      <c r="B82" s="356"/>
      <c r="C82" s="356"/>
      <c r="D82" s="356"/>
      <c r="E82" s="356"/>
      <c r="F82" s="356"/>
      <c r="G82" s="356"/>
      <c r="H82" s="356"/>
      <c r="I82" s="356"/>
      <c r="J82" s="356"/>
      <c r="K82" s="356"/>
      <c r="L82" s="356"/>
      <c r="M82" s="356"/>
      <c r="N82" s="356"/>
      <c r="O82" s="245">
        <f>SUM(B82:N82)</f>
        <v>0</v>
      </c>
      <c r="P82" s="357"/>
      <c r="Q82" s="245">
        <f>O82-P82</f>
        <v>0</v>
      </c>
    </row>
    <row r="83" spans="1:17" x14ac:dyDescent="0.2">
      <c r="C83" s="148"/>
      <c r="E83" s="148"/>
      <c r="P83" s="148"/>
    </row>
    <row r="84" spans="1:17" x14ac:dyDescent="0.2">
      <c r="M84" s="339"/>
      <c r="O84" s="339"/>
    </row>
    <row r="85" spans="1:17" ht="13.5" thickBot="1" x14ac:dyDescent="0.25">
      <c r="A85" s="149" t="s">
        <v>399</v>
      </c>
      <c r="B85" s="123"/>
      <c r="C85" s="246"/>
      <c r="D85" s="123"/>
      <c r="E85" s="246"/>
      <c r="F85" s="123"/>
      <c r="G85" s="123"/>
      <c r="H85" s="123"/>
      <c r="I85" s="123"/>
      <c r="J85" s="123"/>
      <c r="Q85" s="120"/>
    </row>
    <row r="86" spans="1:17" x14ac:dyDescent="0.2">
      <c r="Q86" s="120"/>
    </row>
    <row r="87" spans="1:17" x14ac:dyDescent="0.2">
      <c r="A87" s="152"/>
      <c r="B87" s="152" t="s">
        <v>252</v>
      </c>
      <c r="C87" s="152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Q87" s="152"/>
    </row>
    <row r="88" spans="1:17" x14ac:dyDescent="0.2">
      <c r="A88" s="243" t="s">
        <v>273</v>
      </c>
      <c r="B88" s="247"/>
      <c r="C88" s="247"/>
      <c r="D88" s="247"/>
      <c r="E88" s="247"/>
      <c r="F88" s="247"/>
      <c r="G88" s="247"/>
      <c r="H88" s="247"/>
      <c r="I88" s="247"/>
      <c r="J88" s="247"/>
      <c r="K88" s="247"/>
      <c r="L88" s="247"/>
      <c r="M88" s="247"/>
      <c r="N88" s="247"/>
      <c r="O88" s="243" t="s">
        <v>253</v>
      </c>
      <c r="P88" s="243" t="s">
        <v>254</v>
      </c>
      <c r="Q88" s="243" t="s">
        <v>255</v>
      </c>
    </row>
    <row r="89" spans="1:17" x14ac:dyDescent="0.2">
      <c r="A89" s="244">
        <v>100</v>
      </c>
      <c r="B89" s="356"/>
      <c r="C89" s="356"/>
      <c r="D89" s="356"/>
      <c r="E89" s="356"/>
      <c r="F89" s="356"/>
      <c r="G89" s="356"/>
      <c r="H89" s="356"/>
      <c r="I89" s="356"/>
      <c r="J89" s="356"/>
      <c r="K89" s="356"/>
      <c r="L89" s="356"/>
      <c r="M89" s="356"/>
      <c r="N89" s="356"/>
      <c r="O89" s="245">
        <f>SUM(B89:N89)</f>
        <v>0</v>
      </c>
      <c r="P89" s="357"/>
      <c r="Q89" s="245">
        <f>O89-P89</f>
        <v>0</v>
      </c>
    </row>
    <row r="90" spans="1:17" x14ac:dyDescent="0.2">
      <c r="A90" s="244">
        <v>125</v>
      </c>
      <c r="B90" s="356"/>
      <c r="C90" s="356"/>
      <c r="D90" s="356"/>
      <c r="E90" s="356"/>
      <c r="F90" s="356"/>
      <c r="G90" s="356"/>
      <c r="H90" s="356"/>
      <c r="I90" s="356"/>
      <c r="J90" s="356"/>
      <c r="K90" s="356"/>
      <c r="L90" s="356"/>
      <c r="M90" s="356"/>
      <c r="N90" s="356"/>
      <c r="O90" s="245">
        <f t="shared" ref="O90:O95" si="12">SUM(B90:N90)</f>
        <v>0</v>
      </c>
      <c r="P90" s="357"/>
      <c r="Q90" s="245">
        <f t="shared" ref="Q90:Q95" si="13">O90-P90</f>
        <v>0</v>
      </c>
    </row>
    <row r="91" spans="1:17" x14ac:dyDescent="0.2">
      <c r="A91" s="244">
        <v>160</v>
      </c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245">
        <f t="shared" si="12"/>
        <v>0</v>
      </c>
      <c r="P91" s="357"/>
      <c r="Q91" s="245">
        <f t="shared" si="13"/>
        <v>0</v>
      </c>
    </row>
    <row r="92" spans="1:17" x14ac:dyDescent="0.2">
      <c r="A92" s="244">
        <v>200</v>
      </c>
      <c r="B92" s="356"/>
      <c r="C92" s="356"/>
      <c r="D92" s="356"/>
      <c r="E92" s="356"/>
      <c r="F92" s="356"/>
      <c r="G92" s="356"/>
      <c r="H92" s="356"/>
      <c r="I92" s="356"/>
      <c r="J92" s="356"/>
      <c r="K92" s="356"/>
      <c r="L92" s="356"/>
      <c r="M92" s="356"/>
      <c r="N92" s="356"/>
      <c r="O92" s="245">
        <f t="shared" si="12"/>
        <v>0</v>
      </c>
      <c r="P92" s="357"/>
      <c r="Q92" s="245">
        <f t="shared" si="13"/>
        <v>0</v>
      </c>
    </row>
    <row r="93" spans="1:17" x14ac:dyDescent="0.2">
      <c r="A93" s="244">
        <v>250</v>
      </c>
      <c r="B93" s="356"/>
      <c r="C93" s="356"/>
      <c r="D93" s="356"/>
      <c r="E93" s="356"/>
      <c r="F93" s="356"/>
      <c r="G93" s="356"/>
      <c r="H93" s="356"/>
      <c r="I93" s="356"/>
      <c r="J93" s="356"/>
      <c r="K93" s="356"/>
      <c r="L93" s="356"/>
      <c r="M93" s="356"/>
      <c r="N93" s="356"/>
      <c r="O93" s="245">
        <f t="shared" si="12"/>
        <v>0</v>
      </c>
      <c r="P93" s="357"/>
      <c r="Q93" s="245">
        <f t="shared" si="13"/>
        <v>0</v>
      </c>
    </row>
    <row r="94" spans="1:17" x14ac:dyDescent="0.2">
      <c r="A94" s="244">
        <v>315</v>
      </c>
      <c r="B94" s="356"/>
      <c r="C94" s="356"/>
      <c r="D94" s="356"/>
      <c r="E94" s="356"/>
      <c r="F94" s="356"/>
      <c r="G94" s="356"/>
      <c r="H94" s="356"/>
      <c r="I94" s="356"/>
      <c r="J94" s="356"/>
      <c r="K94" s="356"/>
      <c r="L94" s="356"/>
      <c r="M94" s="356"/>
      <c r="N94" s="356"/>
      <c r="O94" s="245">
        <f t="shared" si="12"/>
        <v>0</v>
      </c>
      <c r="P94" s="357"/>
      <c r="Q94" s="245">
        <f t="shared" si="13"/>
        <v>0</v>
      </c>
    </row>
    <row r="95" spans="1:17" x14ac:dyDescent="0.2">
      <c r="A95" s="244">
        <v>400</v>
      </c>
      <c r="B95" s="356"/>
      <c r="C95" s="356"/>
      <c r="D95" s="356"/>
      <c r="E95" s="356"/>
      <c r="F95" s="356"/>
      <c r="G95" s="356"/>
      <c r="H95" s="356"/>
      <c r="I95" s="356"/>
      <c r="J95" s="356"/>
      <c r="K95" s="356"/>
      <c r="L95" s="356"/>
      <c r="M95" s="356"/>
      <c r="N95" s="356"/>
      <c r="O95" s="245">
        <f t="shared" si="12"/>
        <v>0</v>
      </c>
      <c r="P95" s="357"/>
      <c r="Q95" s="245">
        <f t="shared" si="13"/>
        <v>0</v>
      </c>
    </row>
    <row r="96" spans="1:17" x14ac:dyDescent="0.2">
      <c r="C96" s="148"/>
      <c r="E96" s="148"/>
      <c r="P96" s="148"/>
    </row>
    <row r="97" spans="1:17" x14ac:dyDescent="0.2">
      <c r="C97" s="148"/>
      <c r="E97" s="148"/>
      <c r="P97" s="148"/>
    </row>
    <row r="98" spans="1:17" ht="13.5" thickBot="1" x14ac:dyDescent="0.25">
      <c r="A98" s="149" t="s">
        <v>400</v>
      </c>
      <c r="B98" s="123"/>
      <c r="C98" s="246"/>
      <c r="D98" s="123"/>
      <c r="E98" s="246"/>
      <c r="F98" s="123"/>
      <c r="G98" s="123"/>
      <c r="H98" s="123"/>
      <c r="I98" s="123"/>
      <c r="J98" s="123"/>
      <c r="Q98" s="120"/>
    </row>
    <row r="99" spans="1:17" x14ac:dyDescent="0.2">
      <c r="Q99" s="120"/>
    </row>
    <row r="100" spans="1:17" x14ac:dyDescent="0.2">
      <c r="A100" s="152"/>
      <c r="B100" s="152" t="s">
        <v>252</v>
      </c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Q100" s="152"/>
    </row>
    <row r="101" spans="1:17" x14ac:dyDescent="0.2">
      <c r="A101" s="243" t="s">
        <v>273</v>
      </c>
      <c r="B101" s="247"/>
      <c r="C101" s="247"/>
      <c r="D101" s="247"/>
      <c r="E101" s="247"/>
      <c r="F101" s="247"/>
      <c r="G101" s="247"/>
      <c r="H101" s="247"/>
      <c r="I101" s="247"/>
      <c r="J101" s="247"/>
      <c r="K101" s="247"/>
      <c r="L101" s="247"/>
      <c r="M101" s="247"/>
      <c r="N101" s="247"/>
      <c r="O101" s="243" t="s">
        <v>253</v>
      </c>
      <c r="P101" s="243" t="s">
        <v>254</v>
      </c>
      <c r="Q101" s="243" t="s">
        <v>255</v>
      </c>
    </row>
    <row r="102" spans="1:17" x14ac:dyDescent="0.2">
      <c r="A102" s="244">
        <v>100</v>
      </c>
      <c r="B102" s="356"/>
      <c r="C102" s="356"/>
      <c r="D102" s="356"/>
      <c r="E102" s="356"/>
      <c r="F102" s="356"/>
      <c r="G102" s="356"/>
      <c r="H102" s="356"/>
      <c r="I102" s="356"/>
      <c r="J102" s="356"/>
      <c r="K102" s="356"/>
      <c r="L102" s="356"/>
      <c r="M102" s="356"/>
      <c r="N102" s="356"/>
      <c r="O102" s="245">
        <f>SUM(B102:N102)</f>
        <v>0</v>
      </c>
      <c r="P102" s="357"/>
      <c r="Q102" s="245">
        <f>O102-P102</f>
        <v>0</v>
      </c>
    </row>
    <row r="103" spans="1:17" x14ac:dyDescent="0.2">
      <c r="A103" s="244">
        <v>125</v>
      </c>
      <c r="B103" s="356"/>
      <c r="C103" s="356"/>
      <c r="D103" s="356"/>
      <c r="E103" s="356"/>
      <c r="F103" s="356"/>
      <c r="G103" s="356"/>
      <c r="H103" s="356"/>
      <c r="I103" s="356"/>
      <c r="J103" s="356"/>
      <c r="K103" s="356"/>
      <c r="L103" s="356"/>
      <c r="M103" s="356"/>
      <c r="N103" s="356"/>
      <c r="O103" s="245">
        <f t="shared" ref="O103:O110" si="14">SUM(B103:N103)</f>
        <v>0</v>
      </c>
      <c r="P103" s="357"/>
      <c r="Q103" s="245">
        <f t="shared" ref="Q103:Q110" si="15">O103-P103</f>
        <v>0</v>
      </c>
    </row>
    <row r="104" spans="1:17" x14ac:dyDescent="0.2">
      <c r="A104" s="244">
        <v>160</v>
      </c>
      <c r="B104" s="356"/>
      <c r="C104" s="356"/>
      <c r="D104" s="356"/>
      <c r="E104" s="356"/>
      <c r="F104" s="356"/>
      <c r="G104" s="356"/>
      <c r="H104" s="356"/>
      <c r="I104" s="356"/>
      <c r="J104" s="356"/>
      <c r="K104" s="356"/>
      <c r="L104" s="356"/>
      <c r="M104" s="356"/>
      <c r="N104" s="356"/>
      <c r="O104" s="245">
        <f t="shared" si="14"/>
        <v>0</v>
      </c>
      <c r="P104" s="357"/>
      <c r="Q104" s="245">
        <f t="shared" si="15"/>
        <v>0</v>
      </c>
    </row>
    <row r="105" spans="1:17" x14ac:dyDescent="0.2">
      <c r="A105" s="244">
        <v>200</v>
      </c>
      <c r="B105" s="356"/>
      <c r="C105" s="356"/>
      <c r="D105" s="356"/>
      <c r="E105" s="356"/>
      <c r="F105" s="356"/>
      <c r="G105" s="356"/>
      <c r="H105" s="356"/>
      <c r="I105" s="356"/>
      <c r="J105" s="356"/>
      <c r="K105" s="356"/>
      <c r="L105" s="356"/>
      <c r="M105" s="356"/>
      <c r="N105" s="356"/>
      <c r="O105" s="245">
        <f t="shared" si="14"/>
        <v>0</v>
      </c>
      <c r="P105" s="357"/>
      <c r="Q105" s="245">
        <f t="shared" si="15"/>
        <v>0</v>
      </c>
    </row>
    <row r="106" spans="1:17" x14ac:dyDescent="0.2">
      <c r="A106" s="244">
        <v>250</v>
      </c>
      <c r="B106" s="356"/>
      <c r="C106" s="356"/>
      <c r="D106" s="356"/>
      <c r="E106" s="356"/>
      <c r="F106" s="356"/>
      <c r="G106" s="356"/>
      <c r="H106" s="356"/>
      <c r="I106" s="356"/>
      <c r="J106" s="356"/>
      <c r="K106" s="356"/>
      <c r="L106" s="356"/>
      <c r="M106" s="356"/>
      <c r="N106" s="356"/>
      <c r="O106" s="245">
        <f t="shared" si="14"/>
        <v>0</v>
      </c>
      <c r="P106" s="357"/>
      <c r="Q106" s="245">
        <f t="shared" si="15"/>
        <v>0</v>
      </c>
    </row>
    <row r="107" spans="1:17" x14ac:dyDescent="0.2">
      <c r="A107" s="244">
        <v>315</v>
      </c>
      <c r="B107" s="356"/>
      <c r="C107" s="356"/>
      <c r="D107" s="356"/>
      <c r="E107" s="356"/>
      <c r="F107" s="356"/>
      <c r="G107" s="356"/>
      <c r="H107" s="356"/>
      <c r="I107" s="356"/>
      <c r="J107" s="356"/>
      <c r="K107" s="356"/>
      <c r="L107" s="356"/>
      <c r="M107" s="356"/>
      <c r="N107" s="356"/>
      <c r="O107" s="245">
        <f t="shared" si="14"/>
        <v>0</v>
      </c>
      <c r="P107" s="357"/>
      <c r="Q107" s="245">
        <f t="shared" si="15"/>
        <v>0</v>
      </c>
    </row>
    <row r="108" spans="1:17" x14ac:dyDescent="0.2">
      <c r="A108" s="244">
        <v>400</v>
      </c>
      <c r="B108" s="356"/>
      <c r="C108" s="356"/>
      <c r="D108" s="356"/>
      <c r="E108" s="356"/>
      <c r="F108" s="356"/>
      <c r="G108" s="356"/>
      <c r="H108" s="356"/>
      <c r="I108" s="356"/>
      <c r="J108" s="356"/>
      <c r="K108" s="356"/>
      <c r="L108" s="356"/>
      <c r="M108" s="356"/>
      <c r="N108" s="356"/>
      <c r="O108" s="245">
        <f t="shared" si="14"/>
        <v>0</v>
      </c>
      <c r="P108" s="357"/>
      <c r="Q108" s="245">
        <f t="shared" si="15"/>
        <v>0</v>
      </c>
    </row>
    <row r="109" spans="1:17" x14ac:dyDescent="0.2">
      <c r="A109" s="244">
        <v>500</v>
      </c>
      <c r="B109" s="356"/>
      <c r="C109" s="356"/>
      <c r="D109" s="356"/>
      <c r="E109" s="356"/>
      <c r="F109" s="356"/>
      <c r="G109" s="356"/>
      <c r="H109" s="356"/>
      <c r="I109" s="356"/>
      <c r="J109" s="356"/>
      <c r="K109" s="356"/>
      <c r="L109" s="356"/>
      <c r="M109" s="356"/>
      <c r="N109" s="356"/>
      <c r="O109" s="245">
        <f t="shared" si="14"/>
        <v>0</v>
      </c>
      <c r="P109" s="357"/>
      <c r="Q109" s="245">
        <f t="shared" si="15"/>
        <v>0</v>
      </c>
    </row>
    <row r="110" spans="1:17" x14ac:dyDescent="0.2">
      <c r="A110" s="244">
        <v>630</v>
      </c>
      <c r="B110" s="356"/>
      <c r="C110" s="356"/>
      <c r="D110" s="356"/>
      <c r="E110" s="356"/>
      <c r="F110" s="356"/>
      <c r="G110" s="356"/>
      <c r="H110" s="356"/>
      <c r="I110" s="356"/>
      <c r="J110" s="356"/>
      <c r="K110" s="356"/>
      <c r="L110" s="356"/>
      <c r="M110" s="356"/>
      <c r="N110" s="356"/>
      <c r="O110" s="245">
        <f t="shared" si="14"/>
        <v>0</v>
      </c>
      <c r="P110" s="357"/>
      <c r="Q110" s="245">
        <f t="shared" si="15"/>
        <v>0</v>
      </c>
    </row>
    <row r="113" spans="1:17" ht="13.5" thickBot="1" x14ac:dyDescent="0.25">
      <c r="A113" s="149" t="s">
        <v>451</v>
      </c>
      <c r="B113" s="123"/>
      <c r="C113" s="246"/>
      <c r="D113" s="123"/>
      <c r="E113" s="246"/>
      <c r="F113" s="123"/>
      <c r="G113" s="123"/>
      <c r="H113" s="123"/>
      <c r="I113" s="120"/>
      <c r="J113" s="120"/>
      <c r="Q113" s="120"/>
    </row>
    <row r="114" spans="1:17" x14ac:dyDescent="0.2">
      <c r="Q114" s="120"/>
    </row>
    <row r="115" spans="1:17" x14ac:dyDescent="0.2">
      <c r="A115" s="152"/>
      <c r="B115" s="152" t="s">
        <v>252</v>
      </c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Q115" s="152"/>
    </row>
    <row r="116" spans="1:17" x14ac:dyDescent="0.2">
      <c r="A116" s="243" t="s">
        <v>273</v>
      </c>
      <c r="B116" s="247"/>
      <c r="C116" s="247"/>
      <c r="D116" s="247"/>
      <c r="E116" s="247"/>
      <c r="F116" s="247"/>
      <c r="G116" s="247"/>
      <c r="H116" s="247"/>
      <c r="I116" s="247"/>
      <c r="J116" s="247"/>
      <c r="K116" s="247"/>
      <c r="L116" s="247"/>
      <c r="M116" s="247"/>
      <c r="N116" s="247"/>
      <c r="O116" s="243" t="s">
        <v>253</v>
      </c>
      <c r="P116" s="243" t="s">
        <v>254</v>
      </c>
      <c r="Q116" s="243" t="s">
        <v>255</v>
      </c>
    </row>
    <row r="117" spans="1:17" x14ac:dyDescent="0.2">
      <c r="A117" s="244">
        <v>100</v>
      </c>
      <c r="B117" s="356"/>
      <c r="C117" s="356"/>
      <c r="D117" s="356"/>
      <c r="E117" s="356"/>
      <c r="F117" s="356"/>
      <c r="G117" s="356"/>
      <c r="H117" s="356"/>
      <c r="I117" s="356"/>
      <c r="J117" s="356"/>
      <c r="K117" s="356"/>
      <c r="L117" s="356"/>
      <c r="M117" s="356"/>
      <c r="N117" s="356"/>
      <c r="O117" s="245">
        <f>SUM(B117:N117)</f>
        <v>0</v>
      </c>
      <c r="P117" s="357"/>
      <c r="Q117" s="245">
        <f>O117-P117</f>
        <v>0</v>
      </c>
    </row>
    <row r="118" spans="1:17" x14ac:dyDescent="0.2">
      <c r="A118" s="244">
        <v>125</v>
      </c>
      <c r="B118" s="356"/>
      <c r="C118" s="356"/>
      <c r="D118" s="356"/>
      <c r="E118" s="356"/>
      <c r="F118" s="356"/>
      <c r="G118" s="356"/>
      <c r="H118" s="356"/>
      <c r="I118" s="356"/>
      <c r="J118" s="356"/>
      <c r="K118" s="356"/>
      <c r="L118" s="356"/>
      <c r="M118" s="356"/>
      <c r="N118" s="356"/>
      <c r="O118" s="245">
        <f t="shared" ref="O118:O125" si="16">SUM(B118:N118)</f>
        <v>0</v>
      </c>
      <c r="P118" s="357"/>
      <c r="Q118" s="245">
        <f t="shared" ref="Q118:Q125" si="17">O118-P118</f>
        <v>0</v>
      </c>
    </row>
    <row r="119" spans="1:17" x14ac:dyDescent="0.2">
      <c r="A119" s="244">
        <v>160</v>
      </c>
      <c r="B119" s="356"/>
      <c r="C119" s="356"/>
      <c r="D119" s="356"/>
      <c r="E119" s="356"/>
      <c r="F119" s="356"/>
      <c r="G119" s="356"/>
      <c r="H119" s="356"/>
      <c r="I119" s="356"/>
      <c r="J119" s="356"/>
      <c r="K119" s="356"/>
      <c r="L119" s="356"/>
      <c r="M119" s="356"/>
      <c r="N119" s="356"/>
      <c r="O119" s="245">
        <f t="shared" si="16"/>
        <v>0</v>
      </c>
      <c r="P119" s="357"/>
      <c r="Q119" s="245">
        <f t="shared" si="17"/>
        <v>0</v>
      </c>
    </row>
    <row r="120" spans="1:17" x14ac:dyDescent="0.2">
      <c r="A120" s="244">
        <v>200</v>
      </c>
      <c r="B120" s="356"/>
      <c r="C120" s="356"/>
      <c r="D120" s="356"/>
      <c r="E120" s="356"/>
      <c r="F120" s="356"/>
      <c r="G120" s="356"/>
      <c r="H120" s="356"/>
      <c r="I120" s="356"/>
      <c r="J120" s="356"/>
      <c r="K120" s="356"/>
      <c r="L120" s="356"/>
      <c r="M120" s="356"/>
      <c r="N120" s="356"/>
      <c r="O120" s="245">
        <f t="shared" si="16"/>
        <v>0</v>
      </c>
      <c r="P120" s="357"/>
      <c r="Q120" s="245">
        <f t="shared" si="17"/>
        <v>0</v>
      </c>
    </row>
    <row r="121" spans="1:17" x14ac:dyDescent="0.2">
      <c r="A121" s="244">
        <v>250</v>
      </c>
      <c r="B121" s="356"/>
      <c r="C121" s="356"/>
      <c r="D121" s="356"/>
      <c r="E121" s="356"/>
      <c r="F121" s="356"/>
      <c r="G121" s="356"/>
      <c r="H121" s="356"/>
      <c r="I121" s="356"/>
      <c r="J121" s="356"/>
      <c r="K121" s="356"/>
      <c r="L121" s="356"/>
      <c r="M121" s="356"/>
      <c r="N121" s="356"/>
      <c r="O121" s="245">
        <f t="shared" si="16"/>
        <v>0</v>
      </c>
      <c r="P121" s="357"/>
      <c r="Q121" s="245">
        <f t="shared" si="17"/>
        <v>0</v>
      </c>
    </row>
    <row r="122" spans="1:17" x14ac:dyDescent="0.2">
      <c r="A122" s="244">
        <v>315</v>
      </c>
      <c r="B122" s="356"/>
      <c r="C122" s="356"/>
      <c r="D122" s="356"/>
      <c r="E122" s="356"/>
      <c r="F122" s="356"/>
      <c r="G122" s="356"/>
      <c r="H122" s="356"/>
      <c r="I122" s="356"/>
      <c r="J122" s="356"/>
      <c r="K122" s="356"/>
      <c r="L122" s="356"/>
      <c r="M122" s="356"/>
      <c r="N122" s="356"/>
      <c r="O122" s="245">
        <f t="shared" si="16"/>
        <v>0</v>
      </c>
      <c r="P122" s="357"/>
      <c r="Q122" s="245">
        <f t="shared" si="17"/>
        <v>0</v>
      </c>
    </row>
    <row r="123" spans="1:17" x14ac:dyDescent="0.2">
      <c r="A123" s="244">
        <v>400</v>
      </c>
      <c r="B123" s="356"/>
      <c r="C123" s="356"/>
      <c r="D123" s="356"/>
      <c r="E123" s="356"/>
      <c r="F123" s="356"/>
      <c r="G123" s="356"/>
      <c r="H123" s="356"/>
      <c r="I123" s="356"/>
      <c r="J123" s="356"/>
      <c r="K123" s="356"/>
      <c r="L123" s="356"/>
      <c r="M123" s="356"/>
      <c r="N123" s="356"/>
      <c r="O123" s="245">
        <f t="shared" si="16"/>
        <v>0</v>
      </c>
      <c r="P123" s="357"/>
      <c r="Q123" s="245">
        <f t="shared" si="17"/>
        <v>0</v>
      </c>
    </row>
    <row r="124" spans="1:17" x14ac:dyDescent="0.2">
      <c r="A124" s="244">
        <v>500</v>
      </c>
      <c r="B124" s="356"/>
      <c r="C124" s="356"/>
      <c r="D124" s="356"/>
      <c r="E124" s="356"/>
      <c r="F124" s="356"/>
      <c r="G124" s="356"/>
      <c r="H124" s="356"/>
      <c r="I124" s="356"/>
      <c r="J124" s="356"/>
      <c r="K124" s="356"/>
      <c r="L124" s="356"/>
      <c r="M124" s="356"/>
      <c r="N124" s="356"/>
      <c r="O124" s="245">
        <f t="shared" si="16"/>
        <v>0</v>
      </c>
      <c r="P124" s="357"/>
      <c r="Q124" s="245">
        <f t="shared" si="17"/>
        <v>0</v>
      </c>
    </row>
    <row r="125" spans="1:17" x14ac:dyDescent="0.2">
      <c r="A125" s="244">
        <v>630</v>
      </c>
      <c r="B125" s="356"/>
      <c r="C125" s="356"/>
      <c r="D125" s="356"/>
      <c r="E125" s="356"/>
      <c r="F125" s="356"/>
      <c r="G125" s="356"/>
      <c r="H125" s="356"/>
      <c r="I125" s="356"/>
      <c r="J125" s="356"/>
      <c r="K125" s="356"/>
      <c r="L125" s="356"/>
      <c r="M125" s="356"/>
      <c r="N125" s="356"/>
      <c r="O125" s="245">
        <f t="shared" si="16"/>
        <v>0</v>
      </c>
      <c r="P125" s="357"/>
      <c r="Q125" s="245">
        <f t="shared" si="17"/>
        <v>0</v>
      </c>
    </row>
  </sheetData>
  <sheetProtection password="C75E" sheet="1"/>
  <phoneticPr fontId="0" type="noConversion"/>
  <hyperlinks>
    <hyperlink ref="M25" location="Etusivu!A1" tooltip="Tästä pääset etusivulle" display="Etusivu" xr:uid="{00000000-0004-0000-0300-000000000000}"/>
    <hyperlink ref="M67" location="Etusivu!A1" tooltip="Tästä pääset etusivulle" display="Etusivu" xr:uid="{00000000-0004-0000-0300-000001000000}"/>
    <hyperlink ref="O25" location="Etusivu!A392" tooltip="Tästä pääset laittamaan olosuhde/haittalisät" display="Haittalisä" xr:uid="{00000000-0004-0000-0300-000002000000}"/>
    <hyperlink ref="O67" location="Etusivu!A392" tooltip="Tästä pääset laittamaan olosuhde/haittalisät" display="Haittalisä" xr:uid="{00000000-0004-0000-0300-000003000000}"/>
  </hyperlinks>
  <pageMargins left="0.74803149606299213" right="0.74803149606299213" top="0.47244094488188981" bottom="0.4724409448818898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54"/>
  <sheetViews>
    <sheetView zoomScale="90" zoomScaleNormal="100" zoomScaleSheetLayoutView="75" workbookViewId="0">
      <selection activeCell="N4" sqref="N4"/>
    </sheetView>
  </sheetViews>
  <sheetFormatPr defaultColWidth="9.140625" defaultRowHeight="12.75" x14ac:dyDescent="0.2"/>
  <cols>
    <col min="1" max="1" width="9.28515625" style="148" customWidth="1"/>
    <col min="2" max="5" width="7.28515625" style="148" customWidth="1"/>
    <col min="6" max="6" width="9.140625" style="148" customWidth="1"/>
    <col min="7" max="8" width="7.28515625" style="148" customWidth="1"/>
    <col min="9" max="9" width="9.85546875" style="148" customWidth="1"/>
    <col min="10" max="15" width="7.28515625" style="148" customWidth="1"/>
    <col min="16" max="16" width="9.42578125" style="148" customWidth="1"/>
    <col min="17" max="21" width="7.28515625" style="148" customWidth="1"/>
    <col min="22" max="22" width="7.140625" style="148" customWidth="1"/>
    <col min="23" max="23" width="7.42578125" style="148" customWidth="1"/>
    <col min="24" max="27" width="7.28515625" style="148" customWidth="1"/>
    <col min="28" max="16384" width="9.140625" style="148"/>
  </cols>
  <sheetData>
    <row r="1" spans="1:17" ht="15.75" customHeight="1" x14ac:dyDescent="0.2"/>
    <row r="2" spans="1:17" ht="18" customHeight="1" x14ac:dyDescent="0.25">
      <c r="A2" s="153" t="s">
        <v>275</v>
      </c>
      <c r="C2" s="241"/>
      <c r="E2" s="241"/>
      <c r="J2" s="163"/>
      <c r="P2" s="152"/>
      <c r="Q2" s="120"/>
    </row>
    <row r="3" spans="1:17" ht="12.75" customHeight="1" x14ac:dyDescent="0.25">
      <c r="A3" s="153"/>
      <c r="C3" s="241"/>
      <c r="E3" s="241"/>
      <c r="J3" s="163"/>
      <c r="P3" s="152"/>
      <c r="Q3" s="120"/>
    </row>
    <row r="4" spans="1:17" ht="14.25" customHeight="1" thickBot="1" x14ac:dyDescent="0.25">
      <c r="A4" s="156" t="s">
        <v>276</v>
      </c>
      <c r="B4" s="123"/>
      <c r="C4" s="246"/>
      <c r="D4" s="123"/>
      <c r="E4" s="246"/>
      <c r="F4" s="123"/>
      <c r="G4" s="120"/>
      <c r="J4" s="163"/>
      <c r="N4" s="368" t="s">
        <v>234</v>
      </c>
      <c r="P4" s="368" t="s">
        <v>299</v>
      </c>
      <c r="Q4" s="120"/>
    </row>
    <row r="5" spans="1:17" x14ac:dyDescent="0.2">
      <c r="C5" s="241"/>
      <c r="E5" s="241"/>
      <c r="J5" s="163"/>
      <c r="P5" s="152"/>
      <c r="Q5" s="120"/>
    </row>
    <row r="6" spans="1:17" x14ac:dyDescent="0.2">
      <c r="A6" s="152"/>
      <c r="B6" s="152" t="s">
        <v>252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</row>
    <row r="7" spans="1:17" x14ac:dyDescent="0.2">
      <c r="A7" s="243" t="s">
        <v>278</v>
      </c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3" t="s">
        <v>253</v>
      </c>
      <c r="P7" s="243" t="s">
        <v>254</v>
      </c>
      <c r="Q7" s="243" t="s">
        <v>255</v>
      </c>
    </row>
    <row r="8" spans="1:17" x14ac:dyDescent="0.2">
      <c r="A8" s="250" t="s">
        <v>137</v>
      </c>
      <c r="B8" s="356" t="s">
        <v>67</v>
      </c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245">
        <f t="shared" ref="O8:O13" si="0">SUM(B8:N8)</f>
        <v>0</v>
      </c>
      <c r="P8" s="357"/>
      <c r="Q8" s="245">
        <f t="shared" ref="Q8:Q13" si="1">O8-P8</f>
        <v>0</v>
      </c>
    </row>
    <row r="9" spans="1:17" x14ac:dyDescent="0.2">
      <c r="A9" s="250" t="s">
        <v>138</v>
      </c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245">
        <f t="shared" si="0"/>
        <v>0</v>
      </c>
      <c r="P9" s="357"/>
      <c r="Q9" s="245">
        <f t="shared" si="1"/>
        <v>0</v>
      </c>
    </row>
    <row r="10" spans="1:17" x14ac:dyDescent="0.2">
      <c r="A10" s="250" t="s">
        <v>139</v>
      </c>
      <c r="B10" s="356"/>
      <c r="C10" s="356"/>
      <c r="D10" s="356"/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245">
        <f t="shared" si="0"/>
        <v>0</v>
      </c>
      <c r="P10" s="357"/>
      <c r="Q10" s="245">
        <f t="shared" si="1"/>
        <v>0</v>
      </c>
    </row>
    <row r="11" spans="1:17" x14ac:dyDescent="0.2">
      <c r="A11" s="250" t="s">
        <v>140</v>
      </c>
      <c r="B11" s="356"/>
      <c r="C11" s="356"/>
      <c r="D11" s="356"/>
      <c r="E11" s="356"/>
      <c r="F11" s="356"/>
      <c r="G11" s="356"/>
      <c r="H11" s="356"/>
      <c r="I11" s="356"/>
      <c r="J11" s="356"/>
      <c r="K11" s="356"/>
      <c r="L11" s="356"/>
      <c r="M11" s="356"/>
      <c r="N11" s="356"/>
      <c r="O11" s="245">
        <f t="shared" si="0"/>
        <v>0</v>
      </c>
      <c r="P11" s="357"/>
      <c r="Q11" s="245">
        <f t="shared" si="1"/>
        <v>0</v>
      </c>
    </row>
    <row r="12" spans="1:17" x14ac:dyDescent="0.2">
      <c r="A12" s="250" t="s">
        <v>142</v>
      </c>
      <c r="B12" s="356"/>
      <c r="C12" s="356"/>
      <c r="D12" s="356"/>
      <c r="E12" s="356"/>
      <c r="F12" s="356"/>
      <c r="G12" s="356"/>
      <c r="H12" s="356"/>
      <c r="I12" s="356"/>
      <c r="J12" s="356"/>
      <c r="K12" s="356"/>
      <c r="L12" s="356"/>
      <c r="M12" s="356"/>
      <c r="N12" s="356"/>
      <c r="O12" s="245">
        <f t="shared" si="0"/>
        <v>0</v>
      </c>
      <c r="P12" s="357"/>
      <c r="Q12" s="245">
        <f t="shared" si="1"/>
        <v>0</v>
      </c>
    </row>
    <row r="13" spans="1:17" x14ac:dyDescent="0.2">
      <c r="A13" s="250" t="s">
        <v>143</v>
      </c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245">
        <f t="shared" si="0"/>
        <v>0</v>
      </c>
      <c r="P13" s="357"/>
      <c r="Q13" s="245">
        <f t="shared" si="1"/>
        <v>0</v>
      </c>
    </row>
    <row r="15" spans="1:17" ht="11.25" customHeight="1" x14ac:dyDescent="0.2"/>
    <row r="16" spans="1:17" ht="13.5" thickBot="1" x14ac:dyDescent="0.25">
      <c r="A16" s="156" t="s">
        <v>277</v>
      </c>
      <c r="B16" s="123"/>
      <c r="C16" s="246"/>
      <c r="D16" s="123"/>
      <c r="E16" s="246"/>
      <c r="F16" s="251"/>
      <c r="G16" s="120"/>
      <c r="P16" s="152"/>
      <c r="Q16" s="120"/>
    </row>
    <row r="17" spans="1:17" ht="12.75" customHeight="1" x14ac:dyDescent="0.2">
      <c r="C17" s="241"/>
      <c r="E17" s="241"/>
      <c r="P17" s="152"/>
      <c r="Q17" s="120"/>
    </row>
    <row r="18" spans="1:17" x14ac:dyDescent="0.2">
      <c r="A18" s="152"/>
      <c r="B18" s="152" t="s">
        <v>252</v>
      </c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</row>
    <row r="19" spans="1:17" ht="12.75" customHeight="1" x14ac:dyDescent="0.2">
      <c r="A19" s="243" t="s">
        <v>278</v>
      </c>
      <c r="B19" s="247"/>
      <c r="C19" s="247"/>
      <c r="D19" s="247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243" t="s">
        <v>253</v>
      </c>
      <c r="P19" s="243" t="s">
        <v>254</v>
      </c>
      <c r="Q19" s="243" t="s">
        <v>255</v>
      </c>
    </row>
    <row r="20" spans="1:17" x14ac:dyDescent="0.2">
      <c r="A20" s="250" t="s">
        <v>137</v>
      </c>
      <c r="B20" s="356" t="s">
        <v>67</v>
      </c>
      <c r="C20" s="356"/>
      <c r="D20" s="356"/>
      <c r="E20" s="356"/>
      <c r="F20" s="356"/>
      <c r="G20" s="356"/>
      <c r="H20" s="356"/>
      <c r="I20" s="356"/>
      <c r="J20" s="356"/>
      <c r="K20" s="356"/>
      <c r="L20" s="356"/>
      <c r="M20" s="356"/>
      <c r="N20" s="356"/>
      <c r="O20" s="245">
        <f t="shared" ref="O20:O25" si="2">SUM(B20:N20)</f>
        <v>0</v>
      </c>
      <c r="P20" s="357"/>
      <c r="Q20" s="245">
        <f t="shared" ref="Q20:Q25" si="3">O20-P20</f>
        <v>0</v>
      </c>
    </row>
    <row r="21" spans="1:17" ht="12.75" customHeight="1" x14ac:dyDescent="0.2">
      <c r="A21" s="250" t="s">
        <v>138</v>
      </c>
      <c r="B21" s="356"/>
      <c r="C21" s="356"/>
      <c r="D21" s="356"/>
      <c r="E21" s="356"/>
      <c r="F21" s="356"/>
      <c r="G21" s="356"/>
      <c r="H21" s="356"/>
      <c r="I21" s="356"/>
      <c r="J21" s="356"/>
      <c r="K21" s="356"/>
      <c r="L21" s="356"/>
      <c r="M21" s="356"/>
      <c r="N21" s="356"/>
      <c r="O21" s="245">
        <f t="shared" si="2"/>
        <v>0</v>
      </c>
      <c r="P21" s="357"/>
      <c r="Q21" s="245">
        <f t="shared" si="3"/>
        <v>0</v>
      </c>
    </row>
    <row r="22" spans="1:17" x14ac:dyDescent="0.2">
      <c r="A22" s="250" t="s">
        <v>139</v>
      </c>
      <c r="B22" s="356"/>
      <c r="C22" s="356"/>
      <c r="D22" s="356"/>
      <c r="E22" s="356"/>
      <c r="F22" s="356"/>
      <c r="G22" s="356"/>
      <c r="H22" s="356"/>
      <c r="I22" s="356"/>
      <c r="J22" s="356"/>
      <c r="K22" s="356"/>
      <c r="L22" s="356"/>
      <c r="M22" s="356"/>
      <c r="N22" s="356"/>
      <c r="O22" s="245">
        <f t="shared" si="2"/>
        <v>0</v>
      </c>
      <c r="P22" s="357"/>
      <c r="Q22" s="245">
        <f t="shared" si="3"/>
        <v>0</v>
      </c>
    </row>
    <row r="23" spans="1:17" x14ac:dyDescent="0.2">
      <c r="A23" s="250" t="s">
        <v>140</v>
      </c>
      <c r="B23" s="356"/>
      <c r="C23" s="356"/>
      <c r="D23" s="356"/>
      <c r="E23" s="356"/>
      <c r="F23" s="356"/>
      <c r="G23" s="356"/>
      <c r="H23" s="356"/>
      <c r="I23" s="356"/>
      <c r="J23" s="356"/>
      <c r="K23" s="356"/>
      <c r="L23" s="356"/>
      <c r="M23" s="356"/>
      <c r="N23" s="356"/>
      <c r="O23" s="245">
        <f t="shared" si="2"/>
        <v>0</v>
      </c>
      <c r="P23" s="357"/>
      <c r="Q23" s="245">
        <f t="shared" si="3"/>
        <v>0</v>
      </c>
    </row>
    <row r="24" spans="1:17" x14ac:dyDescent="0.2">
      <c r="A24" s="250" t="s">
        <v>142</v>
      </c>
      <c r="B24" s="356"/>
      <c r="C24" s="356"/>
      <c r="D24" s="356"/>
      <c r="E24" s="356"/>
      <c r="F24" s="356"/>
      <c r="G24" s="356"/>
      <c r="H24" s="356"/>
      <c r="I24" s="356"/>
      <c r="J24" s="356"/>
      <c r="K24" s="356"/>
      <c r="L24" s="356"/>
      <c r="M24" s="356"/>
      <c r="N24" s="356"/>
      <c r="O24" s="245">
        <f t="shared" si="2"/>
        <v>0</v>
      </c>
      <c r="P24" s="357"/>
      <c r="Q24" s="245">
        <f t="shared" si="3"/>
        <v>0</v>
      </c>
    </row>
    <row r="25" spans="1:17" x14ac:dyDescent="0.2">
      <c r="A25" s="250" t="s">
        <v>143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245">
        <f t="shared" si="2"/>
        <v>0</v>
      </c>
      <c r="P25" s="357"/>
      <c r="Q25" s="250">
        <f t="shared" si="3"/>
        <v>0</v>
      </c>
    </row>
    <row r="28" spans="1:17" ht="12.75" customHeight="1" thickBot="1" x14ac:dyDescent="0.25">
      <c r="A28" s="156" t="s">
        <v>279</v>
      </c>
      <c r="B28" s="123"/>
      <c r="C28" s="246"/>
      <c r="D28" s="123"/>
      <c r="E28" s="246"/>
      <c r="F28" s="123"/>
      <c r="G28" s="123"/>
      <c r="H28" s="123"/>
      <c r="I28" s="123"/>
      <c r="J28" s="123"/>
      <c r="K28" s="123"/>
      <c r="L28" s="123"/>
      <c r="M28" s="150"/>
      <c r="N28" s="123"/>
      <c r="O28" s="123"/>
      <c r="P28" s="123"/>
    </row>
    <row r="29" spans="1:17" ht="13.5" customHeight="1" x14ac:dyDescent="0.2">
      <c r="A29" s="251"/>
      <c r="B29" s="120"/>
      <c r="C29" s="239"/>
      <c r="D29" s="120"/>
      <c r="E29" s="239"/>
      <c r="M29" s="152"/>
      <c r="N29" s="120"/>
    </row>
    <row r="30" spans="1:17" x14ac:dyDescent="0.2">
      <c r="A30" s="251"/>
      <c r="B30" s="120"/>
      <c r="C30" s="239"/>
      <c r="D30" s="120"/>
      <c r="E30" s="239"/>
      <c r="M30" s="152"/>
      <c r="N30" s="120"/>
    </row>
    <row r="31" spans="1:17" ht="13.5" thickBot="1" x14ac:dyDescent="0.25">
      <c r="A31" s="251"/>
      <c r="B31" s="156" t="s">
        <v>422</v>
      </c>
      <c r="C31" s="252"/>
      <c r="D31" s="156"/>
      <c r="E31" s="239"/>
      <c r="I31" s="251"/>
      <c r="J31" s="156" t="s">
        <v>280</v>
      </c>
      <c r="K31" s="252"/>
      <c r="L31" s="120"/>
      <c r="M31" s="239"/>
      <c r="N31" s="368" t="s">
        <v>234</v>
      </c>
      <c r="O31" s="120"/>
      <c r="P31" s="368" t="s">
        <v>299</v>
      </c>
    </row>
    <row r="32" spans="1:17" x14ac:dyDescent="0.2">
      <c r="A32" s="152"/>
      <c r="B32" s="152" t="s">
        <v>252</v>
      </c>
      <c r="C32" s="152"/>
      <c r="D32" s="152"/>
      <c r="E32" s="152"/>
      <c r="G32" s="152"/>
      <c r="H32" s="152"/>
      <c r="I32" s="152"/>
      <c r="J32" s="152" t="s">
        <v>252</v>
      </c>
      <c r="K32" s="152"/>
      <c r="L32" s="152"/>
      <c r="M32" s="152"/>
      <c r="O32" s="152"/>
      <c r="P32" s="152"/>
    </row>
    <row r="33" spans="1:15" x14ac:dyDescent="0.2">
      <c r="A33" s="243" t="s">
        <v>278</v>
      </c>
      <c r="B33" s="247"/>
      <c r="C33" s="247"/>
      <c r="D33" s="247"/>
      <c r="E33" s="247"/>
      <c r="F33" s="247"/>
      <c r="G33" s="243" t="s">
        <v>253</v>
      </c>
      <c r="H33" s="151"/>
      <c r="I33" s="243" t="s">
        <v>278</v>
      </c>
      <c r="J33" s="247"/>
      <c r="K33" s="247"/>
      <c r="L33" s="247"/>
      <c r="M33" s="247"/>
      <c r="N33" s="247"/>
      <c r="O33" s="243" t="s">
        <v>253</v>
      </c>
    </row>
    <row r="34" spans="1:15" x14ac:dyDescent="0.2">
      <c r="A34" s="250" t="s">
        <v>137</v>
      </c>
      <c r="B34" s="356" t="s">
        <v>67</v>
      </c>
      <c r="C34" s="356"/>
      <c r="D34" s="356"/>
      <c r="E34" s="356"/>
      <c r="F34" s="356"/>
      <c r="G34" s="245">
        <f t="shared" ref="G34:G39" si="4">SUM(B34:F34)</f>
        <v>0</v>
      </c>
      <c r="H34" s="146"/>
      <c r="I34" s="250" t="s">
        <v>137</v>
      </c>
      <c r="J34" s="356" t="s">
        <v>67</v>
      </c>
      <c r="K34" s="356"/>
      <c r="L34" s="356"/>
      <c r="M34" s="356"/>
      <c r="N34" s="356"/>
      <c r="O34" s="245">
        <f t="shared" ref="O34:O39" si="5">SUM(J34:N34)</f>
        <v>0</v>
      </c>
    </row>
    <row r="35" spans="1:15" x14ac:dyDescent="0.2">
      <c r="A35" s="250" t="s">
        <v>138</v>
      </c>
      <c r="B35" s="356" t="s">
        <v>67</v>
      </c>
      <c r="C35" s="356"/>
      <c r="D35" s="356"/>
      <c r="E35" s="356"/>
      <c r="F35" s="356"/>
      <c r="G35" s="250">
        <f t="shared" si="4"/>
        <v>0</v>
      </c>
      <c r="H35" s="253"/>
      <c r="I35" s="250" t="s">
        <v>138</v>
      </c>
      <c r="J35" s="356"/>
      <c r="K35" s="356"/>
      <c r="L35" s="356"/>
      <c r="M35" s="356"/>
      <c r="N35" s="356"/>
      <c r="O35" s="250">
        <f t="shared" si="5"/>
        <v>0</v>
      </c>
    </row>
    <row r="36" spans="1:15" ht="12" customHeight="1" x14ac:dyDescent="0.2">
      <c r="A36" s="250" t="s">
        <v>139</v>
      </c>
      <c r="B36" s="356"/>
      <c r="C36" s="356"/>
      <c r="D36" s="356"/>
      <c r="E36" s="356"/>
      <c r="F36" s="356"/>
      <c r="G36" s="245">
        <f t="shared" si="4"/>
        <v>0</v>
      </c>
      <c r="H36" s="146"/>
      <c r="I36" s="250" t="s">
        <v>139</v>
      </c>
      <c r="J36" s="356"/>
      <c r="K36" s="356"/>
      <c r="L36" s="356"/>
      <c r="M36" s="356"/>
      <c r="N36" s="356"/>
      <c r="O36" s="245">
        <f t="shared" si="5"/>
        <v>0</v>
      </c>
    </row>
    <row r="37" spans="1:15" x14ac:dyDescent="0.2">
      <c r="A37" s="250" t="s">
        <v>140</v>
      </c>
      <c r="B37" s="356"/>
      <c r="C37" s="356"/>
      <c r="D37" s="356"/>
      <c r="E37" s="356"/>
      <c r="F37" s="356"/>
      <c r="G37" s="250">
        <f t="shared" si="4"/>
        <v>0</v>
      </c>
      <c r="H37" s="253"/>
      <c r="I37" s="250" t="s">
        <v>140</v>
      </c>
      <c r="J37" s="356"/>
      <c r="K37" s="356"/>
      <c r="L37" s="356"/>
      <c r="M37" s="356"/>
      <c r="N37" s="356"/>
      <c r="O37" s="250">
        <f t="shared" si="5"/>
        <v>0</v>
      </c>
    </row>
    <row r="38" spans="1:15" x14ac:dyDescent="0.2">
      <c r="A38" s="250" t="s">
        <v>142</v>
      </c>
      <c r="B38" s="356"/>
      <c r="C38" s="356"/>
      <c r="D38" s="356"/>
      <c r="E38" s="356"/>
      <c r="F38" s="356"/>
      <c r="G38" s="245">
        <f t="shared" si="4"/>
        <v>0</v>
      </c>
      <c r="I38" s="250" t="s">
        <v>142</v>
      </c>
      <c r="J38" s="356"/>
      <c r="K38" s="356"/>
      <c r="L38" s="356"/>
      <c r="M38" s="356"/>
      <c r="N38" s="356"/>
      <c r="O38" s="245">
        <f t="shared" si="5"/>
        <v>0</v>
      </c>
    </row>
    <row r="39" spans="1:15" x14ac:dyDescent="0.2">
      <c r="A39" s="250" t="s">
        <v>143</v>
      </c>
      <c r="B39" s="356"/>
      <c r="C39" s="356"/>
      <c r="D39" s="356"/>
      <c r="E39" s="356"/>
      <c r="F39" s="356"/>
      <c r="G39" s="250">
        <f t="shared" si="4"/>
        <v>0</v>
      </c>
      <c r="I39" s="250" t="s">
        <v>143</v>
      </c>
      <c r="J39" s="356"/>
      <c r="K39" s="356"/>
      <c r="L39" s="356"/>
      <c r="M39" s="356"/>
      <c r="N39" s="356"/>
      <c r="O39" s="250">
        <f t="shared" si="5"/>
        <v>0</v>
      </c>
    </row>
    <row r="42" spans="1:15" ht="13.5" thickBot="1" x14ac:dyDescent="0.25">
      <c r="A42" s="251"/>
      <c r="B42" s="156" t="s">
        <v>281</v>
      </c>
      <c r="C42" s="252"/>
      <c r="D42" s="156"/>
      <c r="E42" s="239"/>
      <c r="I42" s="251"/>
      <c r="J42" s="156" t="s">
        <v>282</v>
      </c>
      <c r="K42" s="252"/>
      <c r="L42" s="251"/>
      <c r="M42" s="239"/>
    </row>
    <row r="43" spans="1:15" x14ac:dyDescent="0.2">
      <c r="A43" s="152"/>
      <c r="B43" s="152" t="s">
        <v>252</v>
      </c>
      <c r="C43" s="152"/>
      <c r="D43" s="152"/>
      <c r="E43" s="152"/>
      <c r="G43" s="152"/>
      <c r="I43" s="152"/>
      <c r="J43" s="152" t="s">
        <v>252</v>
      </c>
      <c r="K43" s="152"/>
      <c r="L43" s="152"/>
      <c r="M43" s="152"/>
      <c r="O43" s="152"/>
    </row>
    <row r="44" spans="1:15" x14ac:dyDescent="0.2">
      <c r="A44" s="243" t="s">
        <v>278</v>
      </c>
      <c r="B44" s="247"/>
      <c r="C44" s="247"/>
      <c r="D44" s="247"/>
      <c r="E44" s="247"/>
      <c r="F44" s="247"/>
      <c r="G44" s="243" t="s">
        <v>253</v>
      </c>
      <c r="I44" s="243" t="s">
        <v>278</v>
      </c>
      <c r="J44" s="247"/>
      <c r="K44" s="247"/>
      <c r="L44" s="247"/>
      <c r="M44" s="247"/>
      <c r="N44" s="247"/>
      <c r="O44" s="243" t="s">
        <v>253</v>
      </c>
    </row>
    <row r="45" spans="1:15" x14ac:dyDescent="0.2">
      <c r="A45" s="250" t="s">
        <v>137</v>
      </c>
      <c r="B45" s="356" t="s">
        <v>67</v>
      </c>
      <c r="C45" s="356"/>
      <c r="D45" s="356"/>
      <c r="E45" s="356"/>
      <c r="F45" s="356"/>
      <c r="G45" s="245">
        <f t="shared" ref="G45:G50" si="6">SUM(B45:F45)</f>
        <v>0</v>
      </c>
      <c r="I45" s="250" t="s">
        <v>137</v>
      </c>
      <c r="J45" s="356" t="s">
        <v>67</v>
      </c>
      <c r="K45" s="356"/>
      <c r="L45" s="356"/>
      <c r="M45" s="356"/>
      <c r="N45" s="356"/>
      <c r="O45" s="245">
        <f t="shared" ref="O45:O50" si="7">SUM(J45:N45)</f>
        <v>0</v>
      </c>
    </row>
    <row r="46" spans="1:15" x14ac:dyDescent="0.2">
      <c r="A46" s="250" t="s">
        <v>138</v>
      </c>
      <c r="B46" s="356"/>
      <c r="C46" s="356"/>
      <c r="D46" s="356"/>
      <c r="E46" s="356"/>
      <c r="F46" s="356"/>
      <c r="G46" s="250">
        <f t="shared" si="6"/>
        <v>0</v>
      </c>
      <c r="I46" s="250" t="s">
        <v>138</v>
      </c>
      <c r="J46" s="356"/>
      <c r="K46" s="356"/>
      <c r="L46" s="356"/>
      <c r="M46" s="356"/>
      <c r="N46" s="356"/>
      <c r="O46" s="250">
        <f t="shared" si="7"/>
        <v>0</v>
      </c>
    </row>
    <row r="47" spans="1:15" x14ac:dyDescent="0.2">
      <c r="A47" s="250" t="s">
        <v>139</v>
      </c>
      <c r="B47" s="356"/>
      <c r="C47" s="356"/>
      <c r="D47" s="356"/>
      <c r="E47" s="356"/>
      <c r="F47" s="356"/>
      <c r="G47" s="245">
        <f t="shared" si="6"/>
        <v>0</v>
      </c>
      <c r="I47" s="250" t="s">
        <v>139</v>
      </c>
      <c r="J47" s="356"/>
      <c r="K47" s="356"/>
      <c r="L47" s="356"/>
      <c r="M47" s="356"/>
      <c r="N47" s="356"/>
      <c r="O47" s="245">
        <f t="shared" si="7"/>
        <v>0</v>
      </c>
    </row>
    <row r="48" spans="1:15" x14ac:dyDescent="0.2">
      <c r="A48" s="250" t="s">
        <v>140</v>
      </c>
      <c r="B48" s="356"/>
      <c r="C48" s="356"/>
      <c r="D48" s="356"/>
      <c r="E48" s="356"/>
      <c r="F48" s="356"/>
      <c r="G48" s="250">
        <f t="shared" si="6"/>
        <v>0</v>
      </c>
      <c r="I48" s="250" t="s">
        <v>140</v>
      </c>
      <c r="J48" s="356"/>
      <c r="K48" s="356"/>
      <c r="L48" s="356"/>
      <c r="M48" s="356"/>
      <c r="N48" s="356"/>
      <c r="O48" s="250">
        <f t="shared" si="7"/>
        <v>0</v>
      </c>
    </row>
    <row r="49" spans="1:15" x14ac:dyDescent="0.2">
      <c r="A49" s="250" t="s">
        <v>142</v>
      </c>
      <c r="B49" s="356"/>
      <c r="C49" s="356"/>
      <c r="D49" s="356"/>
      <c r="E49" s="356"/>
      <c r="F49" s="356"/>
      <c r="G49" s="245">
        <f t="shared" si="6"/>
        <v>0</v>
      </c>
      <c r="I49" s="250" t="s">
        <v>142</v>
      </c>
      <c r="J49" s="356"/>
      <c r="K49" s="356"/>
      <c r="L49" s="356"/>
      <c r="M49" s="356"/>
      <c r="N49" s="356"/>
      <c r="O49" s="245">
        <f t="shared" si="7"/>
        <v>0</v>
      </c>
    </row>
    <row r="50" spans="1:15" x14ac:dyDescent="0.2">
      <c r="A50" s="250" t="s">
        <v>143</v>
      </c>
      <c r="B50" s="356"/>
      <c r="C50" s="356"/>
      <c r="D50" s="356"/>
      <c r="E50" s="356"/>
      <c r="F50" s="356"/>
      <c r="G50" s="250">
        <f t="shared" si="6"/>
        <v>0</v>
      </c>
      <c r="I50" s="250" t="s">
        <v>143</v>
      </c>
      <c r="J50" s="356"/>
      <c r="K50" s="356"/>
      <c r="L50" s="356"/>
      <c r="M50" s="356"/>
      <c r="N50" s="356"/>
      <c r="O50" s="250">
        <f t="shared" si="7"/>
        <v>0</v>
      </c>
    </row>
    <row r="54" spans="1:15" x14ac:dyDescent="0.2">
      <c r="A54" s="152"/>
      <c r="B54" s="152"/>
      <c r="C54" s="152"/>
    </row>
  </sheetData>
  <sheetProtection algorithmName="SHA-512" hashValue="xCjJl5TeiT2qMh8sSZHRUFislciE6SHOK1WkaEHIga0R8QpuYta9QYmwGw598vT6wAlaRIPj9EMQGXVM/uUpvA==" saltValue="HMqYp+pw6RWTAV1Pi2mDgw==" spinCount="100000" sheet="1"/>
  <phoneticPr fontId="0" type="noConversion"/>
  <hyperlinks>
    <hyperlink ref="N4" location="Etusivu!A1" tooltip="Tästä pääset etusivulle" display="Etusivu" xr:uid="{00000000-0004-0000-0400-000000000000}"/>
    <hyperlink ref="N31" location="Etusivu!A1" tooltip="Tästä pääset etusivulle" display="Etusivu" xr:uid="{00000000-0004-0000-0400-000001000000}"/>
    <hyperlink ref="P4" location="Etusivu!A392" tooltip="Tästä pääset laittamaan olosuhde/haittalisät" display="Haittalisä" xr:uid="{00000000-0004-0000-0400-000002000000}"/>
    <hyperlink ref="P31" location="Etusivu!A392" tooltip="Tästä pääset laittamaan olosuhde/haittalisät" display="Haittalisä" xr:uid="{00000000-0004-0000-0400-000003000000}"/>
  </hyperlinks>
  <pageMargins left="0.43307086614173229" right="0.59055118110236227" top="0.51181102362204722" bottom="0.51181102362204722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99"/>
  <sheetViews>
    <sheetView workbookViewId="0">
      <selection activeCell="F16" sqref="F16"/>
    </sheetView>
  </sheetViews>
  <sheetFormatPr defaultColWidth="9.140625" defaultRowHeight="12.75" x14ac:dyDescent="0.2"/>
  <cols>
    <col min="1" max="1" width="9.28515625" style="148" customWidth="1"/>
    <col min="2" max="15" width="7.28515625" style="148" customWidth="1"/>
    <col min="16" max="16" width="9.28515625" style="148" customWidth="1"/>
    <col min="17" max="26" width="7.28515625" style="148" customWidth="1"/>
    <col min="27" max="16384" width="9.140625" style="148"/>
  </cols>
  <sheetData>
    <row r="1" spans="1:18" ht="19.5" customHeight="1" x14ac:dyDescent="0.2"/>
    <row r="2" spans="1:18" x14ac:dyDescent="0.2">
      <c r="N2" s="367" t="s">
        <v>234</v>
      </c>
      <c r="P2" s="367" t="s">
        <v>299</v>
      </c>
    </row>
    <row r="3" spans="1:18" ht="13.5" thickBot="1" x14ac:dyDescent="0.25">
      <c r="A3" s="156" t="s">
        <v>283</v>
      </c>
      <c r="B3" s="156"/>
      <c r="C3" s="156"/>
      <c r="D3" s="251"/>
    </row>
    <row r="4" spans="1:18" ht="15" customHeight="1" x14ac:dyDescent="0.2">
      <c r="D4" s="152"/>
      <c r="E4" s="152"/>
      <c r="F4" s="152" t="s">
        <v>252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</row>
    <row r="5" spans="1:18" ht="12.75" customHeight="1" x14ac:dyDescent="0.2">
      <c r="A5" s="254" t="s">
        <v>63</v>
      </c>
      <c r="B5" s="138"/>
      <c r="C5" s="138"/>
      <c r="D5" s="138"/>
      <c r="E5" s="144"/>
      <c r="F5" s="256"/>
      <c r="G5" s="247"/>
      <c r="H5" s="247"/>
      <c r="I5" s="247"/>
      <c r="J5" s="247"/>
      <c r="K5" s="247"/>
      <c r="L5" s="247"/>
      <c r="M5" s="247"/>
      <c r="N5" s="247"/>
      <c r="O5" s="243" t="s">
        <v>253</v>
      </c>
      <c r="P5" s="243" t="s">
        <v>254</v>
      </c>
      <c r="Q5" s="243" t="s">
        <v>255</v>
      </c>
    </row>
    <row r="6" spans="1:18" ht="12.75" customHeight="1" x14ac:dyDescent="0.2">
      <c r="A6" s="141" t="s">
        <v>284</v>
      </c>
      <c r="B6" s="142"/>
      <c r="C6" s="142"/>
      <c r="D6" s="142"/>
      <c r="E6" s="139"/>
      <c r="F6" s="358"/>
      <c r="G6" s="356"/>
      <c r="H6" s="356"/>
      <c r="I6" s="356"/>
      <c r="J6" s="356"/>
      <c r="K6" s="356"/>
      <c r="L6" s="356"/>
      <c r="M6" s="356"/>
      <c r="N6" s="356"/>
      <c r="O6" s="245">
        <f>SUM(B6:N6)</f>
        <v>0</v>
      </c>
      <c r="P6" s="357"/>
      <c r="Q6" s="245">
        <f t="shared" ref="Q6:Q15" si="0">O6-P6</f>
        <v>0</v>
      </c>
    </row>
    <row r="7" spans="1:18" ht="12.75" customHeight="1" x14ac:dyDescent="0.2">
      <c r="A7" s="544" t="s">
        <v>469</v>
      </c>
      <c r="B7" s="137"/>
      <c r="C7" s="137"/>
      <c r="D7" s="137"/>
      <c r="E7" s="143"/>
      <c r="F7" s="358"/>
      <c r="G7" s="356"/>
      <c r="H7" s="356"/>
      <c r="I7" s="356"/>
      <c r="J7" s="356"/>
      <c r="K7" s="356"/>
      <c r="L7" s="356"/>
      <c r="M7" s="356"/>
      <c r="N7" s="356"/>
      <c r="O7" s="245">
        <f t="shared" ref="O7:O15" si="1">SUM(B7:N7)</f>
        <v>0</v>
      </c>
      <c r="P7" s="357"/>
      <c r="Q7" s="245">
        <f t="shared" si="0"/>
        <v>0</v>
      </c>
    </row>
    <row r="8" spans="1:18" ht="12.75" customHeight="1" x14ac:dyDescent="0.2">
      <c r="A8" s="467" t="s">
        <v>468</v>
      </c>
      <c r="B8" s="142"/>
      <c r="C8" s="142"/>
      <c r="D8" s="142"/>
      <c r="E8" s="139"/>
      <c r="F8" s="358"/>
      <c r="G8" s="356"/>
      <c r="H8" s="356"/>
      <c r="I8" s="356"/>
      <c r="J8" s="356"/>
      <c r="K8" s="356"/>
      <c r="L8" s="356"/>
      <c r="M8" s="356"/>
      <c r="N8" s="356"/>
      <c r="O8" s="245">
        <f t="shared" si="1"/>
        <v>0</v>
      </c>
      <c r="P8" s="357"/>
      <c r="Q8" s="245">
        <f t="shared" si="0"/>
        <v>0</v>
      </c>
    </row>
    <row r="9" spans="1:18" ht="12.75" customHeight="1" x14ac:dyDescent="0.2">
      <c r="A9" s="841" t="s">
        <v>467</v>
      </c>
      <c r="B9" s="842"/>
      <c r="C9" s="842"/>
      <c r="D9" s="842"/>
      <c r="E9" s="843"/>
      <c r="F9" s="358"/>
      <c r="G9" s="356"/>
      <c r="H9" s="356"/>
      <c r="I9" s="356"/>
      <c r="J9" s="356"/>
      <c r="K9" s="356"/>
      <c r="L9" s="356"/>
      <c r="M9" s="356"/>
      <c r="N9" s="356"/>
      <c r="O9" s="245">
        <f t="shared" si="1"/>
        <v>0</v>
      </c>
      <c r="P9" s="357"/>
      <c r="Q9" s="245">
        <f t="shared" si="0"/>
        <v>0</v>
      </c>
    </row>
    <row r="10" spans="1:18" ht="12.75" customHeight="1" x14ac:dyDescent="0.2">
      <c r="A10" s="467" t="s">
        <v>74</v>
      </c>
      <c r="B10" s="142"/>
      <c r="C10" s="142"/>
      <c r="D10" s="142"/>
      <c r="E10" s="139"/>
      <c r="F10" s="358"/>
      <c r="G10" s="356"/>
      <c r="H10" s="356"/>
      <c r="I10" s="356"/>
      <c r="J10" s="356"/>
      <c r="K10" s="356"/>
      <c r="L10" s="356"/>
      <c r="M10" s="356"/>
      <c r="N10" s="356"/>
      <c r="O10" s="245">
        <f t="shared" si="1"/>
        <v>0</v>
      </c>
      <c r="P10" s="357"/>
      <c r="Q10" s="245">
        <f t="shared" si="0"/>
        <v>0</v>
      </c>
    </row>
    <row r="11" spans="1:18" ht="12.75" customHeight="1" x14ac:dyDescent="0.2">
      <c r="A11" s="467" t="s">
        <v>62</v>
      </c>
      <c r="B11" s="142"/>
      <c r="C11" s="142"/>
      <c r="D11" s="142"/>
      <c r="E11" s="139"/>
      <c r="F11" s="358"/>
      <c r="G11" s="356"/>
      <c r="H11" s="356"/>
      <c r="I11" s="356"/>
      <c r="J11" s="356"/>
      <c r="K11" s="356"/>
      <c r="L11" s="356"/>
      <c r="M11" s="356"/>
      <c r="N11" s="356"/>
      <c r="O11" s="245">
        <f t="shared" si="1"/>
        <v>0</v>
      </c>
      <c r="P11" s="357"/>
      <c r="Q11" s="245">
        <f t="shared" si="0"/>
        <v>0</v>
      </c>
    </row>
    <row r="12" spans="1:18" ht="13.5" customHeight="1" x14ac:dyDescent="0.2">
      <c r="A12" s="467" t="s">
        <v>470</v>
      </c>
      <c r="B12" s="142"/>
      <c r="C12" s="142"/>
      <c r="D12" s="142"/>
      <c r="E12" s="143"/>
      <c r="F12" s="358"/>
      <c r="G12" s="356"/>
      <c r="H12" s="356"/>
      <c r="I12" s="356"/>
      <c r="J12" s="356"/>
      <c r="K12" s="356"/>
      <c r="L12" s="356"/>
      <c r="M12" s="356"/>
      <c r="N12" s="356"/>
      <c r="O12" s="245">
        <f t="shared" si="1"/>
        <v>0</v>
      </c>
      <c r="P12" s="357"/>
      <c r="Q12" s="250">
        <f t="shared" si="0"/>
        <v>0</v>
      </c>
    </row>
    <row r="13" spans="1:18" x14ac:dyDescent="0.2">
      <c r="A13" s="468" t="s">
        <v>471</v>
      </c>
      <c r="B13" s="140"/>
      <c r="C13" s="140"/>
      <c r="D13" s="140"/>
      <c r="E13" s="143"/>
      <c r="F13" s="358"/>
      <c r="G13" s="356"/>
      <c r="H13" s="356"/>
      <c r="I13" s="356"/>
      <c r="J13" s="356"/>
      <c r="K13" s="356"/>
      <c r="L13" s="356"/>
      <c r="M13" s="356"/>
      <c r="N13" s="356"/>
      <c r="O13" s="245">
        <f t="shared" si="1"/>
        <v>0</v>
      </c>
      <c r="P13" s="357"/>
      <c r="Q13" s="245">
        <f t="shared" si="0"/>
        <v>0</v>
      </c>
    </row>
    <row r="14" spans="1:18" x14ac:dyDescent="0.2">
      <c r="A14" s="467" t="s">
        <v>409</v>
      </c>
      <c r="B14" s="142"/>
      <c r="C14" s="142"/>
      <c r="D14" s="142"/>
      <c r="E14" s="143"/>
      <c r="F14" s="356"/>
      <c r="G14" s="356"/>
      <c r="H14" s="356"/>
      <c r="I14" s="356"/>
      <c r="J14" s="356"/>
      <c r="K14" s="356"/>
      <c r="L14" s="356"/>
      <c r="M14" s="356"/>
      <c r="N14" s="356"/>
      <c r="O14" s="245">
        <f t="shared" si="1"/>
        <v>0</v>
      </c>
      <c r="P14" s="357"/>
      <c r="Q14" s="245">
        <f t="shared" si="0"/>
        <v>0</v>
      </c>
    </row>
    <row r="15" spans="1:18" x14ac:dyDescent="0.2">
      <c r="A15" s="468" t="s">
        <v>410</v>
      </c>
      <c r="B15" s="140"/>
      <c r="C15" s="140"/>
      <c r="D15" s="140"/>
      <c r="E15" s="466"/>
      <c r="F15" s="356"/>
      <c r="G15" s="356"/>
      <c r="H15" s="356"/>
      <c r="I15" s="356"/>
      <c r="J15" s="356"/>
      <c r="K15" s="356"/>
      <c r="L15" s="356"/>
      <c r="M15" s="356"/>
      <c r="N15" s="356"/>
      <c r="O15" s="245">
        <f t="shared" si="1"/>
        <v>0</v>
      </c>
      <c r="P15" s="357"/>
      <c r="Q15" s="245">
        <f t="shared" si="0"/>
        <v>0</v>
      </c>
    </row>
    <row r="16" spans="1:18" ht="15" customHeight="1" x14ac:dyDescent="0.2"/>
    <row r="17" spans="1:17" ht="15" customHeight="1" x14ac:dyDescent="0.2"/>
    <row r="18" spans="1:17" ht="12.75" customHeight="1" thickBot="1" x14ac:dyDescent="0.25">
      <c r="A18" s="156" t="s">
        <v>496</v>
      </c>
      <c r="B18" s="123"/>
      <c r="C18" s="246"/>
      <c r="D18" s="123"/>
      <c r="E18" s="246"/>
      <c r="F18" s="123"/>
      <c r="G18" s="123"/>
      <c r="K18" s="437" t="s">
        <v>299</v>
      </c>
      <c r="P18" s="152"/>
      <c r="Q18" s="120"/>
    </row>
    <row r="19" spans="1:17" ht="12.75" customHeight="1" x14ac:dyDescent="0.2">
      <c r="B19" s="662" t="s">
        <v>497</v>
      </c>
      <c r="C19" s="241"/>
      <c r="E19" s="241"/>
      <c r="P19" s="152"/>
      <c r="Q19" s="120"/>
    </row>
    <row r="20" spans="1:17" ht="15" customHeight="1" x14ac:dyDescent="0.2">
      <c r="A20" s="152"/>
      <c r="B20" s="152" t="s">
        <v>252</v>
      </c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</row>
    <row r="21" spans="1:17" ht="12.75" customHeight="1" x14ac:dyDescent="0.2">
      <c r="A21" s="243" t="s">
        <v>49</v>
      </c>
      <c r="B21" s="247"/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  <c r="N21" s="247"/>
      <c r="O21" s="243" t="s">
        <v>253</v>
      </c>
      <c r="P21" s="243" t="s">
        <v>254</v>
      </c>
      <c r="Q21" s="243" t="s">
        <v>255</v>
      </c>
    </row>
    <row r="22" spans="1:17" ht="12.75" customHeight="1" x14ac:dyDescent="0.2">
      <c r="A22" s="250">
        <v>-15</v>
      </c>
      <c r="B22" s="356"/>
      <c r="C22" s="356"/>
      <c r="D22" s="356"/>
      <c r="E22" s="356"/>
      <c r="F22" s="356" t="s">
        <v>67</v>
      </c>
      <c r="G22" s="356"/>
      <c r="H22" s="356"/>
      <c r="I22" s="356"/>
      <c r="J22" s="356"/>
      <c r="K22" s="356"/>
      <c r="L22" s="356"/>
      <c r="M22" s="356"/>
      <c r="N22" s="356"/>
      <c r="O22" s="245">
        <f t="shared" ref="O22:O27" si="2">SUM(B22:N22)</f>
        <v>0</v>
      </c>
      <c r="P22" s="357"/>
      <c r="Q22" s="245">
        <f t="shared" ref="Q22:Q27" si="3">O22-P22</f>
        <v>0</v>
      </c>
    </row>
    <row r="23" spans="1:17" x14ac:dyDescent="0.2">
      <c r="A23" s="250">
        <v>-35</v>
      </c>
      <c r="B23" s="356"/>
      <c r="C23" s="356"/>
      <c r="D23" s="356"/>
      <c r="E23" s="356"/>
      <c r="F23" s="356" t="s">
        <v>67</v>
      </c>
      <c r="G23" s="356"/>
      <c r="H23" s="356"/>
      <c r="I23" s="356"/>
      <c r="J23" s="356"/>
      <c r="K23" s="356"/>
      <c r="L23" s="356"/>
      <c r="M23" s="356"/>
      <c r="N23" s="356"/>
      <c r="O23" s="245">
        <f t="shared" si="2"/>
        <v>0</v>
      </c>
      <c r="P23" s="357"/>
      <c r="Q23" s="245">
        <f t="shared" si="3"/>
        <v>0</v>
      </c>
    </row>
    <row r="24" spans="1:17" ht="12.75" customHeight="1" x14ac:dyDescent="0.2">
      <c r="A24" s="250">
        <v>-60</v>
      </c>
      <c r="B24" s="356"/>
      <c r="C24" s="356"/>
      <c r="D24" s="356"/>
      <c r="E24" s="356"/>
      <c r="F24" s="356" t="s">
        <v>67</v>
      </c>
      <c r="G24" s="356"/>
      <c r="H24" s="356"/>
      <c r="I24" s="356"/>
      <c r="J24" s="356"/>
      <c r="K24" s="356"/>
      <c r="L24" s="356"/>
      <c r="M24" s="356"/>
      <c r="N24" s="356"/>
      <c r="O24" s="245">
        <f t="shared" si="2"/>
        <v>0</v>
      </c>
      <c r="P24" s="357"/>
      <c r="Q24" s="245">
        <f t="shared" si="3"/>
        <v>0</v>
      </c>
    </row>
    <row r="25" spans="1:17" ht="12.75" customHeight="1" x14ac:dyDescent="0.2">
      <c r="A25" s="250">
        <v>-100</v>
      </c>
      <c r="B25" s="356"/>
      <c r="C25" s="356"/>
      <c r="D25" s="356"/>
      <c r="E25" s="356"/>
      <c r="F25" s="356" t="s">
        <v>67</v>
      </c>
      <c r="G25" s="356"/>
      <c r="H25" s="356"/>
      <c r="I25" s="356"/>
      <c r="J25" s="356"/>
      <c r="K25" s="356"/>
      <c r="L25" s="356"/>
      <c r="M25" s="356"/>
      <c r="N25" s="356"/>
      <c r="O25" s="245">
        <f t="shared" si="2"/>
        <v>0</v>
      </c>
      <c r="P25" s="357"/>
      <c r="Q25" s="245">
        <f t="shared" si="3"/>
        <v>0</v>
      </c>
    </row>
    <row r="26" spans="1:17" ht="12.75" customHeight="1" x14ac:dyDescent="0.2">
      <c r="A26" s="250">
        <v>-150</v>
      </c>
      <c r="B26" s="356"/>
      <c r="C26" s="356"/>
      <c r="D26" s="356"/>
      <c r="E26" s="356"/>
      <c r="F26" s="356" t="s">
        <v>67</v>
      </c>
      <c r="G26" s="356"/>
      <c r="H26" s="356"/>
      <c r="I26" s="356"/>
      <c r="J26" s="356"/>
      <c r="K26" s="356"/>
      <c r="L26" s="356"/>
      <c r="M26" s="356"/>
      <c r="N26" s="356"/>
      <c r="O26" s="245">
        <f t="shared" si="2"/>
        <v>0</v>
      </c>
      <c r="P26" s="357"/>
      <c r="Q26" s="245">
        <f t="shared" si="3"/>
        <v>0</v>
      </c>
    </row>
    <row r="27" spans="1:17" ht="15" customHeight="1" x14ac:dyDescent="0.2">
      <c r="A27" s="250">
        <v>-200</v>
      </c>
      <c r="B27" s="356"/>
      <c r="C27" s="356"/>
      <c r="D27" s="356"/>
      <c r="E27" s="356"/>
      <c r="F27" s="356" t="s">
        <v>67</v>
      </c>
      <c r="G27" s="356"/>
      <c r="H27" s="356"/>
      <c r="I27" s="356"/>
      <c r="J27" s="356"/>
      <c r="K27" s="356"/>
      <c r="L27" s="356"/>
      <c r="M27" s="356"/>
      <c r="N27" s="356"/>
      <c r="O27" s="245">
        <f t="shared" si="2"/>
        <v>0</v>
      </c>
      <c r="P27" s="357"/>
      <c r="Q27" s="250">
        <f t="shared" si="3"/>
        <v>0</v>
      </c>
    </row>
    <row r="28" spans="1:17" ht="15" customHeight="1" x14ac:dyDescent="0.2"/>
    <row r="29" spans="1:17" ht="15" customHeight="1" x14ac:dyDescent="0.2"/>
    <row r="30" spans="1:17" ht="15" customHeight="1" thickBot="1" x14ac:dyDescent="0.25">
      <c r="A30" s="156" t="s">
        <v>496</v>
      </c>
      <c r="B30" s="123"/>
      <c r="C30" s="246"/>
      <c r="D30" s="123"/>
      <c r="E30" s="246"/>
      <c r="F30" s="123"/>
      <c r="G30" s="123"/>
      <c r="K30" s="437" t="s">
        <v>299</v>
      </c>
      <c r="P30" s="152"/>
      <c r="Q30" s="120"/>
    </row>
    <row r="31" spans="1:17" ht="15" customHeight="1" x14ac:dyDescent="0.2">
      <c r="B31" s="662" t="s">
        <v>498</v>
      </c>
      <c r="C31" s="241"/>
      <c r="E31" s="241"/>
      <c r="P31" s="152"/>
      <c r="Q31" s="120"/>
    </row>
    <row r="32" spans="1:17" ht="15" customHeight="1" x14ac:dyDescent="0.2">
      <c r="A32" s="152"/>
      <c r="B32" s="152" t="s">
        <v>252</v>
      </c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</row>
    <row r="33" spans="1:17" ht="15" customHeight="1" x14ac:dyDescent="0.2">
      <c r="A33" s="243" t="s">
        <v>49</v>
      </c>
      <c r="B33" s="247"/>
      <c r="C33" s="247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7"/>
      <c r="O33" s="243" t="s">
        <v>253</v>
      </c>
      <c r="P33" s="243" t="s">
        <v>254</v>
      </c>
      <c r="Q33" s="243" t="s">
        <v>255</v>
      </c>
    </row>
    <row r="34" spans="1:17" ht="15" customHeight="1" x14ac:dyDescent="0.2">
      <c r="A34" s="250">
        <v>-15</v>
      </c>
      <c r="B34" s="356"/>
      <c r="C34" s="356"/>
      <c r="D34" s="356"/>
      <c r="E34" s="356"/>
      <c r="F34" s="356" t="s">
        <v>67</v>
      </c>
      <c r="G34" s="356"/>
      <c r="H34" s="356"/>
      <c r="I34" s="356"/>
      <c r="J34" s="356"/>
      <c r="K34" s="356"/>
      <c r="L34" s="356"/>
      <c r="M34" s="356"/>
      <c r="N34" s="356"/>
      <c r="O34" s="245">
        <f t="shared" ref="O34:O39" si="4">SUM(B34:N34)</f>
        <v>0</v>
      </c>
      <c r="P34" s="357"/>
      <c r="Q34" s="245">
        <f t="shared" ref="Q34:Q39" si="5">O34-P34</f>
        <v>0</v>
      </c>
    </row>
    <row r="35" spans="1:17" ht="15" customHeight="1" x14ac:dyDescent="0.2">
      <c r="A35" s="250">
        <v>-35</v>
      </c>
      <c r="B35" s="356"/>
      <c r="C35" s="356"/>
      <c r="D35" s="356"/>
      <c r="E35" s="356"/>
      <c r="F35" s="356" t="s">
        <v>67</v>
      </c>
      <c r="G35" s="356"/>
      <c r="H35" s="356"/>
      <c r="I35" s="356"/>
      <c r="J35" s="356"/>
      <c r="K35" s="356"/>
      <c r="L35" s="356"/>
      <c r="M35" s="356"/>
      <c r="N35" s="356"/>
      <c r="O35" s="245">
        <f t="shared" si="4"/>
        <v>0</v>
      </c>
      <c r="P35" s="357"/>
      <c r="Q35" s="245">
        <f t="shared" si="5"/>
        <v>0</v>
      </c>
    </row>
    <row r="36" spans="1:17" ht="15" customHeight="1" x14ac:dyDescent="0.2">
      <c r="A36" s="250">
        <v>-60</v>
      </c>
      <c r="B36" s="356"/>
      <c r="C36" s="356"/>
      <c r="D36" s="356"/>
      <c r="E36" s="356"/>
      <c r="F36" s="356" t="s">
        <v>67</v>
      </c>
      <c r="G36" s="356"/>
      <c r="H36" s="356"/>
      <c r="I36" s="356"/>
      <c r="J36" s="356"/>
      <c r="K36" s="356"/>
      <c r="L36" s="356"/>
      <c r="M36" s="356"/>
      <c r="N36" s="356"/>
      <c r="O36" s="245">
        <f t="shared" si="4"/>
        <v>0</v>
      </c>
      <c r="P36" s="357"/>
      <c r="Q36" s="245">
        <f t="shared" si="5"/>
        <v>0</v>
      </c>
    </row>
    <row r="37" spans="1:17" ht="15" customHeight="1" x14ac:dyDescent="0.2">
      <c r="A37" s="250">
        <v>-100</v>
      </c>
      <c r="B37" s="356"/>
      <c r="C37" s="356"/>
      <c r="D37" s="356"/>
      <c r="E37" s="356"/>
      <c r="F37" s="356" t="s">
        <v>67</v>
      </c>
      <c r="G37" s="356"/>
      <c r="H37" s="356"/>
      <c r="I37" s="356"/>
      <c r="J37" s="356"/>
      <c r="K37" s="356"/>
      <c r="L37" s="356"/>
      <c r="M37" s="356"/>
      <c r="N37" s="356"/>
      <c r="O37" s="245">
        <f t="shared" si="4"/>
        <v>0</v>
      </c>
      <c r="P37" s="357"/>
      <c r="Q37" s="245">
        <f t="shared" si="5"/>
        <v>0</v>
      </c>
    </row>
    <row r="38" spans="1:17" ht="15" customHeight="1" x14ac:dyDescent="0.2">
      <c r="A38" s="250">
        <v>-150</v>
      </c>
      <c r="B38" s="356"/>
      <c r="C38" s="356"/>
      <c r="D38" s="356"/>
      <c r="E38" s="356"/>
      <c r="F38" s="356" t="s">
        <v>67</v>
      </c>
      <c r="G38" s="356"/>
      <c r="H38" s="356"/>
      <c r="I38" s="356"/>
      <c r="J38" s="356"/>
      <c r="K38" s="356"/>
      <c r="L38" s="356"/>
      <c r="M38" s="356"/>
      <c r="N38" s="356"/>
      <c r="O38" s="245">
        <f t="shared" si="4"/>
        <v>0</v>
      </c>
      <c r="P38" s="357"/>
      <c r="Q38" s="245">
        <f t="shared" si="5"/>
        <v>0</v>
      </c>
    </row>
    <row r="39" spans="1:17" ht="15" customHeight="1" x14ac:dyDescent="0.2">
      <c r="A39" s="250">
        <v>-200</v>
      </c>
      <c r="B39" s="356"/>
      <c r="C39" s="356"/>
      <c r="D39" s="356"/>
      <c r="E39" s="356"/>
      <c r="F39" s="356" t="s">
        <v>67</v>
      </c>
      <c r="G39" s="356"/>
      <c r="H39" s="356"/>
      <c r="I39" s="356"/>
      <c r="J39" s="356"/>
      <c r="K39" s="356"/>
      <c r="L39" s="356"/>
      <c r="M39" s="356"/>
      <c r="N39" s="356"/>
      <c r="O39" s="245">
        <f t="shared" si="4"/>
        <v>0</v>
      </c>
      <c r="P39" s="357"/>
      <c r="Q39" s="250">
        <f t="shared" si="5"/>
        <v>0</v>
      </c>
    </row>
    <row r="40" spans="1:17" ht="15" customHeight="1" x14ac:dyDescent="0.2">
      <c r="A40" s="253"/>
      <c r="B40" s="660"/>
      <c r="C40" s="660"/>
      <c r="D40" s="660"/>
      <c r="E40" s="660"/>
      <c r="F40" s="660"/>
      <c r="G40" s="660"/>
      <c r="H40" s="660"/>
      <c r="I40" s="660"/>
      <c r="J40" s="660"/>
      <c r="K40" s="660"/>
      <c r="L40" s="660"/>
      <c r="M40" s="660"/>
      <c r="N40" s="660"/>
      <c r="O40" s="146"/>
      <c r="P40" s="661"/>
      <c r="Q40" s="253"/>
    </row>
    <row r="41" spans="1:17" ht="15" customHeight="1" x14ac:dyDescent="0.2">
      <c r="A41" s="253"/>
      <c r="B41" s="660"/>
      <c r="C41" s="660"/>
      <c r="D41" s="660"/>
      <c r="E41" s="660"/>
      <c r="F41" s="660"/>
      <c r="G41" s="660"/>
      <c r="H41" s="660"/>
      <c r="I41" s="660"/>
      <c r="J41" s="660"/>
      <c r="K41" s="660"/>
      <c r="L41" s="660"/>
      <c r="M41" s="660"/>
      <c r="N41" s="660"/>
      <c r="O41" s="146"/>
      <c r="P41" s="661"/>
      <c r="Q41" s="253"/>
    </row>
    <row r="42" spans="1:17" ht="15" customHeight="1" thickBot="1" x14ac:dyDescent="0.25">
      <c r="A42" s="156" t="s">
        <v>414</v>
      </c>
      <c r="B42" s="123"/>
      <c r="C42" s="246"/>
      <c r="D42" s="123"/>
      <c r="E42" s="246"/>
      <c r="F42" s="123"/>
      <c r="G42" s="120"/>
      <c r="K42" s="437" t="s">
        <v>299</v>
      </c>
      <c r="P42" s="152"/>
      <c r="Q42" s="120"/>
    </row>
    <row r="43" spans="1:17" ht="15" customHeight="1" x14ac:dyDescent="0.2">
      <c r="C43" s="241"/>
      <c r="E43" s="241"/>
      <c r="P43" s="152"/>
      <c r="Q43" s="120"/>
    </row>
    <row r="44" spans="1:17" ht="15" customHeight="1" x14ac:dyDescent="0.2">
      <c r="A44" s="152"/>
      <c r="B44" s="152" t="s">
        <v>252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</row>
    <row r="45" spans="1:17" ht="15" customHeight="1" x14ac:dyDescent="0.2">
      <c r="A45" s="243" t="s">
        <v>413</v>
      </c>
      <c r="B45" s="247"/>
      <c r="C45" s="247"/>
      <c r="D45" s="247"/>
      <c r="E45" s="247"/>
      <c r="F45" s="247"/>
      <c r="G45" s="247"/>
      <c r="H45" s="247"/>
      <c r="I45" s="247"/>
      <c r="J45" s="247"/>
      <c r="K45" s="247"/>
      <c r="L45" s="247"/>
      <c r="M45" s="247"/>
      <c r="N45" s="247"/>
      <c r="O45" s="243" t="s">
        <v>253</v>
      </c>
      <c r="P45" s="243" t="s">
        <v>254</v>
      </c>
      <c r="Q45" s="243" t="s">
        <v>255</v>
      </c>
    </row>
    <row r="46" spans="1:17" ht="15" customHeight="1" x14ac:dyDescent="0.2">
      <c r="A46" s="250">
        <v>-1500</v>
      </c>
      <c r="B46" s="356"/>
      <c r="C46" s="356"/>
      <c r="D46" s="356"/>
      <c r="E46" s="356"/>
      <c r="F46" s="356" t="s">
        <v>67</v>
      </c>
      <c r="G46" s="356"/>
      <c r="H46" s="356"/>
      <c r="I46" s="356"/>
      <c r="J46" s="356"/>
      <c r="K46" s="356"/>
      <c r="L46" s="356"/>
      <c r="M46" s="356"/>
      <c r="N46" s="356"/>
      <c r="O46" s="245">
        <f t="shared" ref="O46:O51" si="6">SUM(B46:N46)</f>
        <v>0</v>
      </c>
      <c r="P46" s="357"/>
      <c r="Q46" s="245">
        <f t="shared" ref="Q46:Q51" si="7">O46-P46</f>
        <v>0</v>
      </c>
    </row>
    <row r="47" spans="1:17" ht="15" customHeight="1" x14ac:dyDescent="0.2">
      <c r="A47" s="250">
        <v>-2000</v>
      </c>
      <c r="B47" s="356"/>
      <c r="C47" s="356"/>
      <c r="D47" s="356"/>
      <c r="E47" s="356"/>
      <c r="F47" s="356" t="s">
        <v>67</v>
      </c>
      <c r="G47" s="356"/>
      <c r="H47" s="356"/>
      <c r="I47" s="356"/>
      <c r="J47" s="356"/>
      <c r="K47" s="356"/>
      <c r="L47" s="356"/>
      <c r="M47" s="356"/>
      <c r="N47" s="356"/>
      <c r="O47" s="245">
        <f t="shared" si="6"/>
        <v>0</v>
      </c>
      <c r="P47" s="357"/>
      <c r="Q47" s="245">
        <f t="shared" si="7"/>
        <v>0</v>
      </c>
    </row>
    <row r="48" spans="1:17" ht="15" customHeight="1" x14ac:dyDescent="0.2">
      <c r="A48" s="250">
        <v>-2500</v>
      </c>
      <c r="B48" s="356"/>
      <c r="C48" s="356"/>
      <c r="D48" s="356"/>
      <c r="E48" s="356"/>
      <c r="F48" s="356" t="s">
        <v>67</v>
      </c>
      <c r="G48" s="356"/>
      <c r="H48" s="356"/>
      <c r="I48" s="356"/>
      <c r="J48" s="356"/>
      <c r="K48" s="356"/>
      <c r="L48" s="356"/>
      <c r="M48" s="356"/>
      <c r="N48" s="356"/>
      <c r="O48" s="245">
        <f t="shared" si="6"/>
        <v>0</v>
      </c>
      <c r="P48" s="357"/>
      <c r="Q48" s="245">
        <f t="shared" si="7"/>
        <v>0</v>
      </c>
    </row>
    <row r="49" spans="1:17" ht="15" customHeight="1" x14ac:dyDescent="0.2">
      <c r="A49" s="250">
        <v>-3000</v>
      </c>
      <c r="B49" s="356"/>
      <c r="C49" s="356"/>
      <c r="D49" s="356"/>
      <c r="E49" s="356"/>
      <c r="F49" s="356" t="s">
        <v>67</v>
      </c>
      <c r="G49" s="356"/>
      <c r="H49" s="356"/>
      <c r="I49" s="356"/>
      <c r="J49" s="356"/>
      <c r="K49" s="356"/>
      <c r="L49" s="356"/>
      <c r="M49" s="356"/>
      <c r="N49" s="356"/>
      <c r="O49" s="245">
        <f t="shared" si="6"/>
        <v>0</v>
      </c>
      <c r="P49" s="357"/>
      <c r="Q49" s="245">
        <f t="shared" si="7"/>
        <v>0</v>
      </c>
    </row>
    <row r="50" spans="1:17" ht="15" customHeight="1" x14ac:dyDescent="0.2">
      <c r="A50" s="250">
        <v>-3500</v>
      </c>
      <c r="B50" s="356"/>
      <c r="C50" s="356"/>
      <c r="D50" s="356"/>
      <c r="E50" s="356"/>
      <c r="F50" s="356" t="s">
        <v>67</v>
      </c>
      <c r="G50" s="356"/>
      <c r="H50" s="356"/>
      <c r="I50" s="356"/>
      <c r="J50" s="356"/>
      <c r="K50" s="356"/>
      <c r="L50" s="356"/>
      <c r="M50" s="356"/>
      <c r="N50" s="356"/>
      <c r="O50" s="245">
        <f t="shared" si="6"/>
        <v>0</v>
      </c>
      <c r="P50" s="357"/>
      <c r="Q50" s="245">
        <f t="shared" si="7"/>
        <v>0</v>
      </c>
    </row>
    <row r="51" spans="1:17" ht="15" customHeight="1" x14ac:dyDescent="0.2">
      <c r="A51" s="250">
        <v>-4000</v>
      </c>
      <c r="B51" s="356"/>
      <c r="C51" s="356"/>
      <c r="D51" s="356"/>
      <c r="E51" s="356"/>
      <c r="F51" s="356" t="s">
        <v>67</v>
      </c>
      <c r="G51" s="356"/>
      <c r="H51" s="356"/>
      <c r="I51" s="356"/>
      <c r="J51" s="356"/>
      <c r="K51" s="356"/>
      <c r="L51" s="356"/>
      <c r="M51" s="356"/>
      <c r="N51" s="356"/>
      <c r="O51" s="245">
        <f t="shared" si="6"/>
        <v>0</v>
      </c>
      <c r="P51" s="357"/>
      <c r="Q51" s="250">
        <f t="shared" si="7"/>
        <v>0</v>
      </c>
    </row>
    <row r="52" spans="1:17" ht="15" customHeight="1" x14ac:dyDescent="0.2">
      <c r="A52" s="250">
        <v>-4500</v>
      </c>
      <c r="B52" s="356"/>
      <c r="C52" s="356"/>
      <c r="D52" s="356"/>
      <c r="E52" s="356"/>
      <c r="F52" s="356" t="s">
        <v>67</v>
      </c>
      <c r="G52" s="356"/>
      <c r="H52" s="356"/>
      <c r="I52" s="356"/>
      <c r="J52" s="356"/>
      <c r="K52" s="356"/>
      <c r="L52" s="356"/>
      <c r="M52" s="356"/>
      <c r="N52" s="356"/>
      <c r="O52" s="245">
        <f>SUM(B52:N52)</f>
        <v>0</v>
      </c>
      <c r="P52" s="357"/>
      <c r="Q52" s="250">
        <f>O52-P52</f>
        <v>0</v>
      </c>
    </row>
    <row r="53" spans="1:17" ht="15" customHeight="1" x14ac:dyDescent="0.2">
      <c r="A53" s="250">
        <v>-5000</v>
      </c>
      <c r="B53" s="356"/>
      <c r="C53" s="356"/>
      <c r="D53" s="356"/>
      <c r="E53" s="356"/>
      <c r="F53" s="356" t="s">
        <v>67</v>
      </c>
      <c r="G53" s="356"/>
      <c r="H53" s="356"/>
      <c r="I53" s="356"/>
      <c r="J53" s="356"/>
      <c r="K53" s="356"/>
      <c r="L53" s="356"/>
      <c r="M53" s="356"/>
      <c r="N53" s="356"/>
      <c r="O53" s="245">
        <f>SUM(B53:N53)</f>
        <v>0</v>
      </c>
      <c r="P53" s="357"/>
      <c r="Q53" s="250">
        <f>O53-P53</f>
        <v>0</v>
      </c>
    </row>
    <row r="54" spans="1:17" ht="15" customHeight="1" x14ac:dyDescent="0.2"/>
    <row r="55" spans="1:17" ht="15" customHeight="1" x14ac:dyDescent="0.2"/>
    <row r="56" spans="1:17" ht="15" customHeight="1" thickBot="1" x14ac:dyDescent="0.25">
      <c r="A56" s="156" t="s">
        <v>486</v>
      </c>
      <c r="B56" s="123"/>
      <c r="C56" s="246"/>
      <c r="D56" s="123"/>
      <c r="E56" s="246"/>
      <c r="F56" s="123"/>
      <c r="G56" s="123"/>
      <c r="H56" s="123"/>
      <c r="I56" s="123"/>
      <c r="K56" s="437" t="s">
        <v>299</v>
      </c>
      <c r="P56" s="152"/>
      <c r="Q56" s="120"/>
    </row>
    <row r="57" spans="1:17" ht="15" customHeight="1" x14ac:dyDescent="0.2">
      <c r="C57" s="241"/>
      <c r="E57" s="241"/>
      <c r="P57" s="152"/>
      <c r="Q57" s="120"/>
    </row>
    <row r="58" spans="1:17" ht="15" customHeight="1" x14ac:dyDescent="0.2">
      <c r="A58" s="152"/>
      <c r="B58" s="152" t="s">
        <v>252</v>
      </c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</row>
    <row r="59" spans="1:17" ht="15" customHeight="1" x14ac:dyDescent="0.2">
      <c r="A59" s="243" t="s">
        <v>413</v>
      </c>
      <c r="B59" s="247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3" t="s">
        <v>253</v>
      </c>
      <c r="P59" s="243" t="s">
        <v>254</v>
      </c>
      <c r="Q59" s="243" t="s">
        <v>255</v>
      </c>
    </row>
    <row r="60" spans="1:17" ht="15" customHeight="1" x14ac:dyDescent="0.2">
      <c r="A60" s="250">
        <v>-1500</v>
      </c>
      <c r="B60" s="356"/>
      <c r="C60" s="356"/>
      <c r="D60" s="356"/>
      <c r="E60" s="356"/>
      <c r="F60" s="356" t="s">
        <v>67</v>
      </c>
      <c r="G60" s="356"/>
      <c r="H60" s="356"/>
      <c r="I60" s="356"/>
      <c r="J60" s="356"/>
      <c r="K60" s="356"/>
      <c r="L60" s="356"/>
      <c r="M60" s="356"/>
      <c r="N60" s="356"/>
      <c r="O60" s="245">
        <f t="shared" ref="O60:O67" si="8">SUM(B60:N60)</f>
        <v>0</v>
      </c>
      <c r="P60" s="357"/>
      <c r="Q60" s="245">
        <f t="shared" ref="Q60:Q65" si="9">O60-P60</f>
        <v>0</v>
      </c>
    </row>
    <row r="61" spans="1:17" ht="15" customHeight="1" x14ac:dyDescent="0.2">
      <c r="A61" s="250">
        <v>-2000</v>
      </c>
      <c r="B61" s="356"/>
      <c r="C61" s="356"/>
      <c r="D61" s="356"/>
      <c r="E61" s="356"/>
      <c r="F61" s="356" t="s">
        <v>67</v>
      </c>
      <c r="G61" s="356"/>
      <c r="H61" s="356"/>
      <c r="I61" s="356"/>
      <c r="J61" s="356"/>
      <c r="K61" s="356"/>
      <c r="L61" s="356"/>
      <c r="M61" s="356"/>
      <c r="N61" s="356"/>
      <c r="O61" s="245">
        <f t="shared" si="8"/>
        <v>0</v>
      </c>
      <c r="P61" s="357"/>
      <c r="Q61" s="245">
        <f t="shared" si="9"/>
        <v>0</v>
      </c>
    </row>
    <row r="62" spans="1:17" ht="15" customHeight="1" x14ac:dyDescent="0.2">
      <c r="A62" s="250">
        <v>-2500</v>
      </c>
      <c r="B62" s="356"/>
      <c r="C62" s="356"/>
      <c r="D62" s="356"/>
      <c r="E62" s="356"/>
      <c r="F62" s="356" t="s">
        <v>67</v>
      </c>
      <c r="G62" s="356"/>
      <c r="H62" s="356"/>
      <c r="I62" s="356"/>
      <c r="J62" s="356"/>
      <c r="K62" s="356"/>
      <c r="L62" s="356"/>
      <c r="M62" s="356"/>
      <c r="N62" s="356"/>
      <c r="O62" s="245">
        <f t="shared" si="8"/>
        <v>0</v>
      </c>
      <c r="P62" s="357"/>
      <c r="Q62" s="245">
        <f t="shared" si="9"/>
        <v>0</v>
      </c>
    </row>
    <row r="63" spans="1:17" ht="15" customHeight="1" x14ac:dyDescent="0.2">
      <c r="A63" s="250">
        <v>-3000</v>
      </c>
      <c r="B63" s="356"/>
      <c r="C63" s="356"/>
      <c r="D63" s="356"/>
      <c r="E63" s="356"/>
      <c r="F63" s="356" t="s">
        <v>67</v>
      </c>
      <c r="G63" s="356"/>
      <c r="H63" s="356"/>
      <c r="I63" s="356"/>
      <c r="J63" s="356"/>
      <c r="K63" s="356"/>
      <c r="L63" s="356"/>
      <c r="M63" s="356"/>
      <c r="N63" s="356"/>
      <c r="O63" s="245">
        <f t="shared" si="8"/>
        <v>0</v>
      </c>
      <c r="P63" s="357"/>
      <c r="Q63" s="245">
        <f t="shared" si="9"/>
        <v>0</v>
      </c>
    </row>
    <row r="64" spans="1:17" ht="15" customHeight="1" x14ac:dyDescent="0.2">
      <c r="A64" s="250">
        <v>-3500</v>
      </c>
      <c r="B64" s="356"/>
      <c r="C64" s="356"/>
      <c r="D64" s="356"/>
      <c r="E64" s="356"/>
      <c r="F64" s="356" t="s">
        <v>67</v>
      </c>
      <c r="G64" s="356"/>
      <c r="H64" s="356"/>
      <c r="I64" s="356"/>
      <c r="J64" s="356"/>
      <c r="K64" s="356"/>
      <c r="L64" s="356"/>
      <c r="M64" s="356"/>
      <c r="N64" s="356"/>
      <c r="O64" s="245">
        <f t="shared" si="8"/>
        <v>0</v>
      </c>
      <c r="P64" s="357"/>
      <c r="Q64" s="245">
        <f t="shared" si="9"/>
        <v>0</v>
      </c>
    </row>
    <row r="65" spans="1:17" ht="15" customHeight="1" x14ac:dyDescent="0.2">
      <c r="A65" s="250">
        <v>-4000</v>
      </c>
      <c r="B65" s="356"/>
      <c r="C65" s="356"/>
      <c r="D65" s="356"/>
      <c r="E65" s="356"/>
      <c r="F65" s="356" t="s">
        <v>67</v>
      </c>
      <c r="G65" s="356"/>
      <c r="H65" s="356"/>
      <c r="I65" s="356"/>
      <c r="J65" s="356"/>
      <c r="K65" s="356"/>
      <c r="L65" s="356"/>
      <c r="M65" s="356"/>
      <c r="N65" s="356"/>
      <c r="O65" s="245">
        <f t="shared" si="8"/>
        <v>0</v>
      </c>
      <c r="P65" s="357"/>
      <c r="Q65" s="250">
        <f t="shared" si="9"/>
        <v>0</v>
      </c>
    </row>
    <row r="66" spans="1:17" ht="15" customHeight="1" x14ac:dyDescent="0.2">
      <c r="A66" s="250">
        <v>-4500</v>
      </c>
      <c r="B66" s="356"/>
      <c r="C66" s="356"/>
      <c r="D66" s="356"/>
      <c r="E66" s="356"/>
      <c r="F66" s="356" t="s">
        <v>67</v>
      </c>
      <c r="G66" s="356"/>
      <c r="H66" s="356"/>
      <c r="I66" s="356"/>
      <c r="J66" s="356"/>
      <c r="K66" s="356"/>
      <c r="L66" s="356"/>
      <c r="M66" s="356"/>
      <c r="N66" s="356"/>
      <c r="O66" s="245">
        <f t="shared" si="8"/>
        <v>0</v>
      </c>
      <c r="P66" s="357"/>
      <c r="Q66" s="250">
        <f>O66-P66</f>
        <v>0</v>
      </c>
    </row>
    <row r="67" spans="1:17" ht="15" customHeight="1" x14ac:dyDescent="0.2">
      <c r="A67" s="250">
        <v>-5000</v>
      </c>
      <c r="B67" s="356"/>
      <c r="C67" s="356"/>
      <c r="D67" s="356"/>
      <c r="E67" s="356"/>
      <c r="F67" s="356" t="s">
        <v>67</v>
      </c>
      <c r="G67" s="356"/>
      <c r="H67" s="356"/>
      <c r="I67" s="356"/>
      <c r="J67" s="356"/>
      <c r="K67" s="356"/>
      <c r="L67" s="356"/>
      <c r="M67" s="356"/>
      <c r="N67" s="356"/>
      <c r="O67" s="245">
        <f t="shared" si="8"/>
        <v>0</v>
      </c>
      <c r="P67" s="357"/>
      <c r="Q67" s="250">
        <f>O67-P67</f>
        <v>0</v>
      </c>
    </row>
    <row r="68" spans="1:17" ht="15" customHeight="1" x14ac:dyDescent="0.2">
      <c r="A68" s="250">
        <v>-5500</v>
      </c>
      <c r="B68" s="356"/>
      <c r="C68" s="356"/>
      <c r="D68" s="356"/>
      <c r="E68" s="356"/>
      <c r="F68" s="356" t="s">
        <v>67</v>
      </c>
      <c r="G68" s="356"/>
      <c r="H68" s="356"/>
      <c r="I68" s="356"/>
      <c r="J68" s="356"/>
      <c r="K68" s="356"/>
      <c r="L68" s="356"/>
      <c r="M68" s="356"/>
      <c r="N68" s="356"/>
      <c r="O68" s="245">
        <f t="shared" ref="O68:O69" si="10">SUM(B68:N68)</f>
        <v>0</v>
      </c>
      <c r="P68" s="357"/>
      <c r="Q68" s="250">
        <f t="shared" ref="Q68:Q69" si="11">O68-P68</f>
        <v>0</v>
      </c>
    </row>
    <row r="69" spans="1:17" ht="15" customHeight="1" x14ac:dyDescent="0.2">
      <c r="A69" s="250">
        <v>-6000</v>
      </c>
      <c r="B69" s="356"/>
      <c r="C69" s="356"/>
      <c r="D69" s="356"/>
      <c r="E69" s="356"/>
      <c r="F69" s="356" t="s">
        <v>67</v>
      </c>
      <c r="G69" s="356"/>
      <c r="H69" s="356"/>
      <c r="I69" s="356"/>
      <c r="J69" s="356"/>
      <c r="K69" s="356"/>
      <c r="L69" s="356"/>
      <c r="M69" s="356"/>
      <c r="N69" s="356"/>
      <c r="O69" s="245">
        <f t="shared" si="10"/>
        <v>0</v>
      </c>
      <c r="P69" s="357"/>
      <c r="Q69" s="250">
        <f t="shared" si="11"/>
        <v>0</v>
      </c>
    </row>
    <row r="70" spans="1:17" ht="15" customHeight="1" x14ac:dyDescent="0.2"/>
    <row r="71" spans="1:17" ht="15" customHeight="1" x14ac:dyDescent="0.2"/>
    <row r="72" spans="1:17" ht="15" customHeight="1" thickBot="1" x14ac:dyDescent="0.25">
      <c r="A72" s="156" t="s">
        <v>487</v>
      </c>
      <c r="B72" s="123"/>
      <c r="C72" s="246"/>
      <c r="D72" s="123"/>
      <c r="E72" s="246"/>
      <c r="F72" s="123"/>
      <c r="G72" s="123"/>
      <c r="H72" s="120"/>
      <c r="I72" s="120"/>
      <c r="K72" s="437" t="s">
        <v>299</v>
      </c>
      <c r="P72" s="152"/>
      <c r="Q72" s="120"/>
    </row>
    <row r="73" spans="1:17" ht="15" customHeight="1" x14ac:dyDescent="0.2">
      <c r="C73" s="241"/>
      <c r="E73" s="241"/>
      <c r="P73" s="152"/>
      <c r="Q73" s="120"/>
    </row>
    <row r="74" spans="1:17" ht="15" customHeight="1" x14ac:dyDescent="0.2">
      <c r="A74" s="152"/>
      <c r="B74" s="152" t="s">
        <v>252</v>
      </c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</row>
    <row r="75" spans="1:17" ht="15" customHeight="1" x14ac:dyDescent="0.2">
      <c r="A75" s="243" t="s">
        <v>413</v>
      </c>
      <c r="B75" s="247"/>
      <c r="C75" s="247"/>
      <c r="D75" s="247"/>
      <c r="E75" s="247"/>
      <c r="F75" s="247"/>
      <c r="G75" s="247"/>
      <c r="H75" s="247"/>
      <c r="I75" s="247"/>
      <c r="J75" s="247"/>
      <c r="K75" s="247"/>
      <c r="L75" s="247"/>
      <c r="M75" s="247"/>
      <c r="N75" s="247"/>
      <c r="O75" s="243" t="s">
        <v>253</v>
      </c>
      <c r="P75" s="243" t="s">
        <v>254</v>
      </c>
      <c r="Q75" s="243" t="s">
        <v>255</v>
      </c>
    </row>
    <row r="76" spans="1:17" ht="15" customHeight="1" x14ac:dyDescent="0.2">
      <c r="A76" s="250">
        <v>-1500</v>
      </c>
      <c r="B76" s="356"/>
      <c r="C76" s="356"/>
      <c r="D76" s="356"/>
      <c r="E76" s="356"/>
      <c r="F76" s="356" t="s">
        <v>67</v>
      </c>
      <c r="G76" s="356"/>
      <c r="H76" s="356"/>
      <c r="I76" s="356"/>
      <c r="J76" s="356"/>
      <c r="K76" s="356"/>
      <c r="L76" s="356"/>
      <c r="M76" s="356"/>
      <c r="N76" s="356"/>
      <c r="O76" s="245">
        <f>SUM(B76:N76)</f>
        <v>0</v>
      </c>
      <c r="P76" s="357"/>
      <c r="Q76" s="245">
        <f t="shared" ref="Q76:Q81" si="12">O76-P76</f>
        <v>0</v>
      </c>
    </row>
    <row r="77" spans="1:17" ht="15" customHeight="1" x14ac:dyDescent="0.2">
      <c r="A77" s="250">
        <v>-2000</v>
      </c>
      <c r="B77" s="356"/>
      <c r="C77" s="356"/>
      <c r="D77" s="356"/>
      <c r="E77" s="356"/>
      <c r="F77" s="356" t="s">
        <v>67</v>
      </c>
      <c r="G77" s="356"/>
      <c r="H77" s="356"/>
      <c r="I77" s="356"/>
      <c r="J77" s="356"/>
      <c r="K77" s="356"/>
      <c r="L77" s="356"/>
      <c r="M77" s="356"/>
      <c r="N77" s="356"/>
      <c r="O77" s="245">
        <f t="shared" ref="O77:O83" si="13">SUM(B77:N77)</f>
        <v>0</v>
      </c>
      <c r="P77" s="357"/>
      <c r="Q77" s="245">
        <f t="shared" si="12"/>
        <v>0</v>
      </c>
    </row>
    <row r="78" spans="1:17" ht="15" customHeight="1" x14ac:dyDescent="0.2">
      <c r="A78" s="250">
        <v>-2500</v>
      </c>
      <c r="B78" s="356"/>
      <c r="C78" s="356"/>
      <c r="D78" s="356"/>
      <c r="E78" s="356"/>
      <c r="F78" s="356" t="s">
        <v>67</v>
      </c>
      <c r="G78" s="356"/>
      <c r="H78" s="356"/>
      <c r="I78" s="356"/>
      <c r="J78" s="356"/>
      <c r="K78" s="356"/>
      <c r="L78" s="356"/>
      <c r="M78" s="356"/>
      <c r="N78" s="356"/>
      <c r="O78" s="245">
        <f t="shared" si="13"/>
        <v>0</v>
      </c>
      <c r="P78" s="357"/>
      <c r="Q78" s="245">
        <f t="shared" si="12"/>
        <v>0</v>
      </c>
    </row>
    <row r="79" spans="1:17" ht="15" customHeight="1" x14ac:dyDescent="0.2">
      <c r="A79" s="250">
        <v>-3000</v>
      </c>
      <c r="B79" s="356"/>
      <c r="C79" s="356"/>
      <c r="D79" s="356"/>
      <c r="E79" s="356"/>
      <c r="F79" s="356" t="s">
        <v>67</v>
      </c>
      <c r="G79" s="356"/>
      <c r="H79" s="356"/>
      <c r="I79" s="356"/>
      <c r="J79" s="356"/>
      <c r="K79" s="356"/>
      <c r="L79" s="356"/>
      <c r="M79" s="356"/>
      <c r="N79" s="356"/>
      <c r="O79" s="245">
        <f t="shared" si="13"/>
        <v>0</v>
      </c>
      <c r="P79" s="357"/>
      <c r="Q79" s="245">
        <f t="shared" si="12"/>
        <v>0</v>
      </c>
    </row>
    <row r="80" spans="1:17" ht="15" customHeight="1" x14ac:dyDescent="0.2">
      <c r="A80" s="250">
        <v>-3500</v>
      </c>
      <c r="B80" s="356"/>
      <c r="C80" s="356"/>
      <c r="D80" s="356"/>
      <c r="E80" s="356"/>
      <c r="F80" s="356" t="s">
        <v>67</v>
      </c>
      <c r="G80" s="356"/>
      <c r="H80" s="356"/>
      <c r="I80" s="356"/>
      <c r="J80" s="356"/>
      <c r="K80" s="356"/>
      <c r="L80" s="356"/>
      <c r="M80" s="356"/>
      <c r="N80" s="356"/>
      <c r="O80" s="245">
        <f t="shared" si="13"/>
        <v>0</v>
      </c>
      <c r="P80" s="357"/>
      <c r="Q80" s="245">
        <f t="shared" si="12"/>
        <v>0</v>
      </c>
    </row>
    <row r="81" spans="1:17" ht="15" customHeight="1" x14ac:dyDescent="0.2">
      <c r="A81" s="250">
        <v>-4000</v>
      </c>
      <c r="B81" s="356"/>
      <c r="C81" s="356"/>
      <c r="D81" s="356"/>
      <c r="E81" s="356"/>
      <c r="F81" s="356" t="s">
        <v>67</v>
      </c>
      <c r="G81" s="356"/>
      <c r="H81" s="356"/>
      <c r="I81" s="356"/>
      <c r="J81" s="356"/>
      <c r="K81" s="356"/>
      <c r="L81" s="356"/>
      <c r="M81" s="356"/>
      <c r="N81" s="356"/>
      <c r="O81" s="245">
        <f t="shared" si="13"/>
        <v>0</v>
      </c>
      <c r="P81" s="357"/>
      <c r="Q81" s="250">
        <f t="shared" si="12"/>
        <v>0</v>
      </c>
    </row>
    <row r="82" spans="1:17" ht="15" customHeight="1" x14ac:dyDescent="0.2">
      <c r="A82" s="250">
        <v>-4500</v>
      </c>
      <c r="B82" s="356"/>
      <c r="C82" s="356"/>
      <c r="D82" s="356"/>
      <c r="E82" s="356"/>
      <c r="F82" s="356" t="s">
        <v>67</v>
      </c>
      <c r="G82" s="356"/>
      <c r="H82" s="356"/>
      <c r="I82" s="356"/>
      <c r="J82" s="356"/>
      <c r="K82" s="356"/>
      <c r="L82" s="356"/>
      <c r="M82" s="356"/>
      <c r="N82" s="356"/>
      <c r="O82" s="245">
        <f t="shared" si="13"/>
        <v>0</v>
      </c>
      <c r="P82" s="357"/>
      <c r="Q82" s="250">
        <f>O82-P82</f>
        <v>0</v>
      </c>
    </row>
    <row r="83" spans="1:17" ht="15" customHeight="1" x14ac:dyDescent="0.2">
      <c r="A83" s="250">
        <v>-5000</v>
      </c>
      <c r="B83" s="356"/>
      <c r="C83" s="356"/>
      <c r="D83" s="356"/>
      <c r="E83" s="356"/>
      <c r="F83" s="356" t="s">
        <v>67</v>
      </c>
      <c r="G83" s="356"/>
      <c r="H83" s="356"/>
      <c r="I83" s="356"/>
      <c r="J83" s="356"/>
      <c r="K83" s="356"/>
      <c r="L83" s="356"/>
      <c r="M83" s="356"/>
      <c r="N83" s="356"/>
      <c r="O83" s="245">
        <f t="shared" si="13"/>
        <v>0</v>
      </c>
      <c r="P83" s="357"/>
      <c r="Q83" s="250">
        <f>O83-P83</f>
        <v>0</v>
      </c>
    </row>
    <row r="84" spans="1:17" ht="15" customHeight="1" x14ac:dyDescent="0.2">
      <c r="A84" s="250">
        <v>-5500</v>
      </c>
      <c r="B84" s="356"/>
      <c r="C84" s="356"/>
      <c r="D84" s="356"/>
      <c r="E84" s="356"/>
      <c r="F84" s="356" t="s">
        <v>67</v>
      </c>
      <c r="G84" s="356"/>
      <c r="H84" s="356"/>
      <c r="I84" s="356"/>
      <c r="J84" s="356"/>
      <c r="K84" s="356"/>
      <c r="L84" s="356"/>
      <c r="M84" s="356"/>
      <c r="N84" s="356"/>
      <c r="O84" s="245">
        <f t="shared" ref="O84:O85" si="14">SUM(B84:N84)</f>
        <v>0</v>
      </c>
      <c r="P84" s="357"/>
      <c r="Q84" s="250">
        <f t="shared" ref="Q84:Q85" si="15">O84-P84</f>
        <v>0</v>
      </c>
    </row>
    <row r="85" spans="1:17" ht="15" customHeight="1" x14ac:dyDescent="0.2">
      <c r="A85" s="250">
        <v>-6000</v>
      </c>
      <c r="B85" s="356"/>
      <c r="C85" s="356"/>
      <c r="D85" s="356"/>
      <c r="E85" s="356"/>
      <c r="F85" s="356" t="s">
        <v>67</v>
      </c>
      <c r="G85" s="356"/>
      <c r="H85" s="356"/>
      <c r="I85" s="356"/>
      <c r="J85" s="356"/>
      <c r="K85" s="356"/>
      <c r="L85" s="356"/>
      <c r="M85" s="356"/>
      <c r="N85" s="356"/>
      <c r="O85" s="245">
        <f t="shared" si="14"/>
        <v>0</v>
      </c>
      <c r="P85" s="357"/>
      <c r="Q85" s="250">
        <f t="shared" si="15"/>
        <v>0</v>
      </c>
    </row>
    <row r="86" spans="1:17" ht="15" customHeight="1" x14ac:dyDescent="0.2"/>
    <row r="87" spans="1:17" ht="15" customHeight="1" x14ac:dyDescent="0.2"/>
    <row r="88" spans="1:17" ht="12.75" customHeight="1" thickBot="1" x14ac:dyDescent="0.25">
      <c r="A88" s="156" t="s">
        <v>405</v>
      </c>
      <c r="B88" s="123"/>
      <c r="C88" s="246"/>
      <c r="D88" s="123"/>
      <c r="E88" s="246"/>
      <c r="F88" s="123"/>
      <c r="G88" s="123"/>
      <c r="H88" s="156"/>
      <c r="I88" s="123"/>
      <c r="P88" s="152"/>
      <c r="Q88" s="120"/>
    </row>
    <row r="89" spans="1:17" ht="12.75" customHeight="1" x14ac:dyDescent="0.2">
      <c r="C89" s="241"/>
      <c r="E89" s="241"/>
      <c r="P89" s="152"/>
      <c r="Q89" s="120"/>
    </row>
    <row r="90" spans="1:17" x14ac:dyDescent="0.2">
      <c r="A90" s="152"/>
      <c r="B90" s="152" t="s">
        <v>252</v>
      </c>
      <c r="C90" s="152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</row>
    <row r="91" spans="1:17" x14ac:dyDescent="0.2">
      <c r="A91" s="243" t="s">
        <v>49</v>
      </c>
      <c r="B91" s="247"/>
      <c r="C91" s="247"/>
      <c r="D91" s="247"/>
      <c r="E91" s="247"/>
      <c r="F91" s="247"/>
      <c r="G91" s="247"/>
      <c r="H91" s="247"/>
      <c r="I91" s="247"/>
      <c r="J91" s="247"/>
      <c r="K91" s="247"/>
      <c r="L91" s="247"/>
      <c r="M91" s="247"/>
      <c r="N91" s="247"/>
      <c r="O91" s="243" t="s">
        <v>253</v>
      </c>
      <c r="P91" s="243" t="s">
        <v>254</v>
      </c>
      <c r="Q91" s="243" t="s">
        <v>255</v>
      </c>
    </row>
    <row r="92" spans="1:17" x14ac:dyDescent="0.2">
      <c r="A92" s="250" t="s">
        <v>403</v>
      </c>
      <c r="B92" s="356"/>
      <c r="C92" s="356"/>
      <c r="D92" s="356"/>
      <c r="E92" s="356"/>
      <c r="F92" s="356" t="s">
        <v>67</v>
      </c>
      <c r="G92" s="356"/>
      <c r="H92" s="356"/>
      <c r="I92" s="356"/>
      <c r="J92" s="356"/>
      <c r="K92" s="356"/>
      <c r="L92" s="356"/>
      <c r="M92" s="356"/>
      <c r="N92" s="356"/>
      <c r="O92" s="245">
        <f>SUM(B92:N92)</f>
        <v>0</v>
      </c>
      <c r="P92" s="357"/>
      <c r="Q92" s="245">
        <f>O92-P92</f>
        <v>0</v>
      </c>
    </row>
    <row r="93" spans="1:17" x14ac:dyDescent="0.2">
      <c r="A93" s="250" t="s">
        <v>404</v>
      </c>
      <c r="B93" s="356"/>
      <c r="C93" s="356"/>
      <c r="D93" s="356"/>
      <c r="E93" s="356"/>
      <c r="F93" s="356" t="s">
        <v>67</v>
      </c>
      <c r="G93" s="356"/>
      <c r="H93" s="356"/>
      <c r="I93" s="356"/>
      <c r="J93" s="356"/>
      <c r="K93" s="356"/>
      <c r="L93" s="356"/>
      <c r="M93" s="356"/>
      <c r="N93" s="356"/>
      <c r="O93" s="245">
        <f>SUM(B93:N93)</f>
        <v>0</v>
      </c>
      <c r="P93" s="357"/>
      <c r="Q93" s="245">
        <f>O93-P93</f>
        <v>0</v>
      </c>
    </row>
    <row r="96" spans="1:17" ht="13.5" thickBot="1" x14ac:dyDescent="0.25">
      <c r="A96" s="156" t="s">
        <v>416</v>
      </c>
      <c r="B96" s="123"/>
      <c r="C96" s="123"/>
      <c r="D96" s="123"/>
      <c r="E96" s="123"/>
      <c r="F96" s="123"/>
      <c r="G96" s="123"/>
      <c r="H96" s="123"/>
      <c r="I96" s="123"/>
      <c r="J96" s="120"/>
    </row>
    <row r="97" spans="1:17" x14ac:dyDescent="0.2">
      <c r="B97" s="148" t="s">
        <v>252</v>
      </c>
    </row>
    <row r="98" spans="1:17" x14ac:dyDescent="0.2">
      <c r="A98" s="118" t="s">
        <v>417</v>
      </c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0" t="s">
        <v>253</v>
      </c>
      <c r="P98" s="112" t="s">
        <v>254</v>
      </c>
      <c r="Q98" s="110" t="s">
        <v>255</v>
      </c>
    </row>
    <row r="99" spans="1:17" x14ac:dyDescent="0.2">
      <c r="A99" s="118" t="s">
        <v>158</v>
      </c>
      <c r="B99" s="347"/>
      <c r="C99" s="347"/>
      <c r="D99" s="348"/>
      <c r="E99" s="348"/>
      <c r="F99" s="348"/>
      <c r="G99" s="348"/>
      <c r="H99" s="348"/>
      <c r="I99" s="348"/>
      <c r="J99" s="348"/>
      <c r="K99" s="348"/>
      <c r="L99" s="348"/>
      <c r="M99" s="348"/>
      <c r="N99" s="348"/>
      <c r="O99" s="113">
        <f>SUM(B99:N99)</f>
        <v>0</v>
      </c>
      <c r="P99" s="349"/>
      <c r="Q99" s="113">
        <f>O99-P99</f>
        <v>0</v>
      </c>
    </row>
  </sheetData>
  <sheetProtection algorithmName="SHA-512" hashValue="uzW5I1Cok0UKjAi5qLoeKyNkOTssV0crkSNB8HWzE0iwyTjpq+yN0IyH7wpXHYNuRrMKFS4QTqC6Mv8mg8cE8A==" saltValue="19xg8SMYX45j6IwMn7IXIA==" spinCount="100000" sheet="1"/>
  <mergeCells count="1">
    <mergeCell ref="A9:E9"/>
  </mergeCells>
  <phoneticPr fontId="0" type="noConversion"/>
  <hyperlinks>
    <hyperlink ref="N2" location="Etusivu!A1" tooltip="Tästä pääset etusivulle" display="Etusivu" xr:uid="{00000000-0004-0000-0500-000000000000}"/>
    <hyperlink ref="P2" location="Etusivu!A392" tooltip="Tästä pääset laittamaan olosuhde/haittalisät" display="Haittalisä" xr:uid="{00000000-0004-0000-0500-000001000000}"/>
  </hyperlinks>
  <pageMargins left="0.59055118110236227" right="0.59055118110236227" top="0.51181102362204722" bottom="0.51181102362204722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147"/>
  <sheetViews>
    <sheetView workbookViewId="0">
      <selection activeCell="N3" sqref="N3"/>
    </sheetView>
  </sheetViews>
  <sheetFormatPr defaultColWidth="9.140625" defaultRowHeight="12.75" x14ac:dyDescent="0.2"/>
  <cols>
    <col min="1" max="1" width="10.140625" style="148" customWidth="1"/>
    <col min="2" max="15" width="7.28515625" style="148" customWidth="1"/>
    <col min="16" max="16" width="9.42578125" style="148" customWidth="1"/>
    <col min="17" max="17" width="7.28515625" style="148" customWidth="1"/>
    <col min="18" max="18" width="7.42578125" style="148" customWidth="1"/>
    <col min="19" max="22" width="7.28515625" style="148" customWidth="1"/>
    <col min="23" max="23" width="7.42578125" style="148" customWidth="1"/>
    <col min="24" max="26" width="7.28515625" style="148" customWidth="1"/>
    <col min="27" max="16384" width="9.140625" style="148"/>
  </cols>
  <sheetData>
    <row r="1" spans="1:17" ht="12.75" customHeight="1" x14ac:dyDescent="0.2"/>
    <row r="2" spans="1:17" ht="15.75" customHeight="1" x14ac:dyDescent="0.25">
      <c r="A2" s="153" t="s">
        <v>285</v>
      </c>
      <c r="B2" s="153"/>
      <c r="C2" s="153"/>
      <c r="D2" s="153"/>
    </row>
    <row r="3" spans="1:17" x14ac:dyDescent="0.2">
      <c r="N3" s="367" t="s">
        <v>234</v>
      </c>
      <c r="P3" s="367" t="s">
        <v>299</v>
      </c>
    </row>
    <row r="5" spans="1:17" ht="13.5" thickBot="1" x14ac:dyDescent="0.25">
      <c r="A5" s="149" t="s">
        <v>286</v>
      </c>
      <c r="B5" s="150"/>
      <c r="C5" s="150"/>
      <c r="D5" s="150"/>
      <c r="E5" s="150"/>
      <c r="F5" s="151"/>
      <c r="G5" s="151"/>
      <c r="H5" s="151"/>
      <c r="I5" s="151"/>
      <c r="J5" s="151"/>
      <c r="K5" s="151"/>
      <c r="L5" s="151"/>
      <c r="M5" s="151"/>
      <c r="N5" s="151"/>
      <c r="O5" s="152"/>
      <c r="P5" s="152"/>
      <c r="Q5" s="152"/>
    </row>
    <row r="6" spans="1:17" x14ac:dyDescent="0.2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</row>
    <row r="7" spans="1:17" x14ac:dyDescent="0.2">
      <c r="A7" s="152"/>
      <c r="B7" s="152" t="s">
        <v>252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</row>
    <row r="8" spans="1:17" x14ac:dyDescent="0.2">
      <c r="A8" s="245" t="s">
        <v>51</v>
      </c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3" t="s">
        <v>253</v>
      </c>
      <c r="P8" s="243" t="s">
        <v>254</v>
      </c>
      <c r="Q8" s="243" t="s">
        <v>255</v>
      </c>
    </row>
    <row r="9" spans="1:17" x14ac:dyDescent="0.2">
      <c r="A9" s="255" t="s">
        <v>15</v>
      </c>
      <c r="B9" s="248"/>
      <c r="C9" s="248"/>
      <c r="D9" s="248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5">
        <f>SUM(B9:N9)</f>
        <v>0</v>
      </c>
      <c r="P9" s="249"/>
      <c r="Q9" s="245">
        <f>O9-P9</f>
        <v>0</v>
      </c>
    </row>
    <row r="10" spans="1:17" x14ac:dyDescent="0.2">
      <c r="A10" s="255" t="s">
        <v>16</v>
      </c>
      <c r="B10" s="248"/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5">
        <f>SUM(B10:N10)</f>
        <v>0</v>
      </c>
      <c r="P10" s="249"/>
      <c r="Q10" s="245">
        <f>O10-P10</f>
        <v>0</v>
      </c>
    </row>
    <row r="11" spans="1:17" x14ac:dyDescent="0.2">
      <c r="A11" s="255" t="s">
        <v>17</v>
      </c>
      <c r="B11" s="248"/>
      <c r="C11" s="248"/>
      <c r="D11" s="248"/>
      <c r="E11" s="248"/>
      <c r="F11" s="248"/>
      <c r="G11" s="248"/>
      <c r="H11" s="248"/>
      <c r="I11" s="248"/>
      <c r="J11" s="248"/>
      <c r="K11" s="248"/>
      <c r="L11" s="248"/>
      <c r="M11" s="248"/>
      <c r="N11" s="248"/>
      <c r="O11" s="245">
        <f>SUM(B11:N11)</f>
        <v>0</v>
      </c>
      <c r="P11" s="249"/>
      <c r="Q11" s="245">
        <f>O11-P11</f>
        <v>0</v>
      </c>
    </row>
    <row r="12" spans="1:17" x14ac:dyDescent="0.2">
      <c r="A12" s="255" t="s">
        <v>18</v>
      </c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5">
        <f>SUM(B12:N12)</f>
        <v>0</v>
      </c>
      <c r="P12" s="249"/>
      <c r="Q12" s="245">
        <f>O12-P12</f>
        <v>0</v>
      </c>
    </row>
    <row r="13" spans="1:17" x14ac:dyDescent="0.2">
      <c r="A13" s="255" t="s">
        <v>296</v>
      </c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5">
        <f>SUM(B13:N13)</f>
        <v>0</v>
      </c>
      <c r="P13" s="249"/>
      <c r="Q13" s="245">
        <f>O13-P13</f>
        <v>0</v>
      </c>
    </row>
    <row r="16" spans="1:17" ht="13.5" thickBot="1" x14ac:dyDescent="0.25">
      <c r="A16" s="149" t="s">
        <v>287</v>
      </c>
      <c r="B16" s="150"/>
      <c r="C16" s="150"/>
      <c r="D16" s="150"/>
      <c r="E16" s="150"/>
      <c r="F16" s="151"/>
      <c r="G16" s="151"/>
      <c r="H16" s="151"/>
      <c r="I16" s="151"/>
      <c r="J16" s="151"/>
      <c r="K16" s="151"/>
      <c r="L16" s="151"/>
      <c r="M16" s="151"/>
      <c r="N16" s="151"/>
      <c r="O16" s="152"/>
      <c r="P16" s="152"/>
      <c r="Q16" s="152"/>
    </row>
    <row r="17" spans="1:17" x14ac:dyDescent="0.2">
      <c r="A17" s="152"/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</row>
    <row r="18" spans="1:17" x14ac:dyDescent="0.2">
      <c r="A18" s="152"/>
      <c r="B18" s="152" t="s">
        <v>252</v>
      </c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</row>
    <row r="19" spans="1:17" x14ac:dyDescent="0.2">
      <c r="A19" s="245" t="s">
        <v>51</v>
      </c>
      <c r="B19" s="247"/>
      <c r="C19" s="247"/>
      <c r="D19" s="247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243" t="s">
        <v>253</v>
      </c>
      <c r="P19" s="243" t="s">
        <v>254</v>
      </c>
      <c r="Q19" s="243" t="s">
        <v>255</v>
      </c>
    </row>
    <row r="20" spans="1:17" x14ac:dyDescent="0.2">
      <c r="A20" s="255" t="s">
        <v>15</v>
      </c>
      <c r="B20" s="248"/>
      <c r="C20" s="248"/>
      <c r="D20" s="248"/>
      <c r="E20" s="248"/>
      <c r="F20" s="248"/>
      <c r="G20" s="248"/>
      <c r="H20" s="248"/>
      <c r="I20" s="248"/>
      <c r="J20" s="248"/>
      <c r="K20" s="248"/>
      <c r="L20" s="248"/>
      <c r="M20" s="248"/>
      <c r="N20" s="248"/>
      <c r="O20" s="245">
        <f>SUM(B20:N20)</f>
        <v>0</v>
      </c>
      <c r="P20" s="249"/>
      <c r="Q20" s="245">
        <f>O20-P20</f>
        <v>0</v>
      </c>
    </row>
    <row r="21" spans="1:17" x14ac:dyDescent="0.2">
      <c r="A21" s="255" t="s">
        <v>16</v>
      </c>
      <c r="B21" s="248"/>
      <c r="C21" s="248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5">
        <f>SUM(B21:N21)</f>
        <v>0</v>
      </c>
      <c r="P21" s="249"/>
      <c r="Q21" s="245">
        <f>O21-P21</f>
        <v>0</v>
      </c>
    </row>
    <row r="22" spans="1:17" x14ac:dyDescent="0.2">
      <c r="A22" s="255" t="s">
        <v>17</v>
      </c>
      <c r="B22" s="248"/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5">
        <f>SUM(B22:N22)</f>
        <v>0</v>
      </c>
      <c r="P22" s="249"/>
      <c r="Q22" s="245">
        <f>O22-P22</f>
        <v>0</v>
      </c>
    </row>
    <row r="23" spans="1:17" x14ac:dyDescent="0.2">
      <c r="A23" s="255" t="s">
        <v>18</v>
      </c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5">
        <f>SUM(B23:N23)</f>
        <v>0</v>
      </c>
      <c r="P23" s="249"/>
      <c r="Q23" s="245">
        <f>O23-P23</f>
        <v>0</v>
      </c>
    </row>
    <row r="24" spans="1:17" x14ac:dyDescent="0.2">
      <c r="A24" s="255" t="s">
        <v>296</v>
      </c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5">
        <f>SUM(B24:N24)</f>
        <v>0</v>
      </c>
      <c r="P24" s="249"/>
      <c r="Q24" s="245">
        <f>O24-P24</f>
        <v>0</v>
      </c>
    </row>
    <row r="27" spans="1:17" ht="13.5" thickBot="1" x14ac:dyDescent="0.25">
      <c r="A27" s="149" t="s">
        <v>288</v>
      </c>
      <c r="B27" s="150"/>
      <c r="C27" s="150"/>
      <c r="D27" s="150"/>
      <c r="E27" s="151"/>
      <c r="F27" s="151"/>
      <c r="G27" s="151"/>
      <c r="H27" s="151"/>
      <c r="I27" s="151"/>
      <c r="J27" s="151"/>
      <c r="K27" s="151"/>
      <c r="L27" s="151"/>
      <c r="M27" s="151"/>
      <c r="N27" s="367" t="s">
        <v>234</v>
      </c>
      <c r="O27" s="152"/>
      <c r="P27" s="367" t="s">
        <v>299</v>
      </c>
      <c r="Q27" s="152"/>
    </row>
    <row r="28" spans="1:17" x14ac:dyDescent="0.2">
      <c r="A28" s="152"/>
      <c r="B28" s="152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</row>
    <row r="29" spans="1:17" x14ac:dyDescent="0.2">
      <c r="A29" s="152"/>
      <c r="B29" s="152" t="s">
        <v>252</v>
      </c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</row>
    <row r="30" spans="1:17" x14ac:dyDescent="0.2">
      <c r="A30" s="245" t="s">
        <v>51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3" t="s">
        <v>253</v>
      </c>
      <c r="P30" s="243" t="s">
        <v>254</v>
      </c>
      <c r="Q30" s="243" t="s">
        <v>255</v>
      </c>
    </row>
    <row r="31" spans="1:17" x14ac:dyDescent="0.2">
      <c r="A31" s="255" t="s">
        <v>15</v>
      </c>
      <c r="B31" s="356"/>
      <c r="C31" s="356"/>
      <c r="D31" s="356"/>
      <c r="E31" s="356"/>
      <c r="F31" s="356"/>
      <c r="G31" s="356"/>
      <c r="H31" s="356"/>
      <c r="I31" s="356"/>
      <c r="J31" s="356"/>
      <c r="K31" s="356"/>
      <c r="L31" s="356"/>
      <c r="M31" s="356"/>
      <c r="N31" s="356"/>
      <c r="O31" s="245">
        <f>SUM(B31:N31)</f>
        <v>0</v>
      </c>
      <c r="P31" s="357"/>
      <c r="Q31" s="245">
        <f>O31-P31</f>
        <v>0</v>
      </c>
    </row>
    <row r="32" spans="1:17" x14ac:dyDescent="0.2">
      <c r="A32" s="255" t="s">
        <v>16</v>
      </c>
      <c r="B32" s="356"/>
      <c r="C32" s="356"/>
      <c r="D32" s="356"/>
      <c r="E32" s="356"/>
      <c r="F32" s="356"/>
      <c r="G32" s="356"/>
      <c r="H32" s="356"/>
      <c r="I32" s="356"/>
      <c r="J32" s="356"/>
      <c r="K32" s="356"/>
      <c r="L32" s="356"/>
      <c r="M32" s="356"/>
      <c r="N32" s="356"/>
      <c r="O32" s="245">
        <f>SUM(B32:N32)</f>
        <v>0</v>
      </c>
      <c r="P32" s="357"/>
      <c r="Q32" s="245">
        <f>O32-P32</f>
        <v>0</v>
      </c>
    </row>
    <row r="33" spans="1:17" x14ac:dyDescent="0.2">
      <c r="A33" s="255" t="s">
        <v>17</v>
      </c>
      <c r="B33" s="356"/>
      <c r="C33" s="356"/>
      <c r="D33" s="356"/>
      <c r="E33" s="356"/>
      <c r="F33" s="356"/>
      <c r="G33" s="356"/>
      <c r="H33" s="356"/>
      <c r="I33" s="356"/>
      <c r="J33" s="356"/>
      <c r="K33" s="356"/>
      <c r="L33" s="356"/>
      <c r="M33" s="356"/>
      <c r="N33" s="356"/>
      <c r="O33" s="245">
        <f>SUM(B33:N33)</f>
        <v>0</v>
      </c>
      <c r="P33" s="357"/>
      <c r="Q33" s="245">
        <f>O33-P33</f>
        <v>0</v>
      </c>
    </row>
    <row r="34" spans="1:17" x14ac:dyDescent="0.2">
      <c r="A34" s="255" t="s">
        <v>18</v>
      </c>
      <c r="B34" s="356"/>
      <c r="C34" s="356"/>
      <c r="D34" s="356"/>
      <c r="E34" s="356"/>
      <c r="F34" s="356"/>
      <c r="G34" s="356"/>
      <c r="H34" s="356"/>
      <c r="I34" s="356"/>
      <c r="J34" s="356"/>
      <c r="K34" s="356"/>
      <c r="L34" s="356"/>
      <c r="M34" s="356"/>
      <c r="N34" s="356"/>
      <c r="O34" s="245">
        <f>SUM(B34:N34)</f>
        <v>0</v>
      </c>
      <c r="P34" s="357"/>
      <c r="Q34" s="245">
        <f>O34-P34</f>
        <v>0</v>
      </c>
    </row>
    <row r="35" spans="1:17" x14ac:dyDescent="0.2">
      <c r="A35" s="255" t="s">
        <v>296</v>
      </c>
      <c r="B35" s="356"/>
      <c r="C35" s="356"/>
      <c r="D35" s="356"/>
      <c r="E35" s="356"/>
      <c r="F35" s="356"/>
      <c r="G35" s="356"/>
      <c r="H35" s="356"/>
      <c r="I35" s="356"/>
      <c r="J35" s="356"/>
      <c r="K35" s="356"/>
      <c r="L35" s="356"/>
      <c r="M35" s="356"/>
      <c r="N35" s="356"/>
      <c r="O35" s="245">
        <f>SUM(B35:N35)</f>
        <v>0</v>
      </c>
      <c r="P35" s="357"/>
      <c r="Q35" s="245">
        <f>O35-P35</f>
        <v>0</v>
      </c>
    </row>
    <row r="40" spans="1:17" ht="13.5" thickBot="1" x14ac:dyDescent="0.25">
      <c r="A40" s="149" t="s">
        <v>289</v>
      </c>
      <c r="B40" s="150"/>
      <c r="C40" s="150"/>
      <c r="D40" s="150"/>
      <c r="E40" s="150"/>
      <c r="F40" s="151"/>
      <c r="G40" s="151"/>
      <c r="H40" s="151"/>
      <c r="I40" s="151"/>
      <c r="J40" s="151"/>
      <c r="K40" s="151"/>
      <c r="L40" s="151"/>
      <c r="M40" s="151"/>
      <c r="N40" s="151"/>
      <c r="O40" s="152"/>
      <c r="P40" s="152"/>
      <c r="Q40" s="152"/>
    </row>
    <row r="41" spans="1:17" x14ac:dyDescent="0.2">
      <c r="A41" s="152"/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</row>
    <row r="42" spans="1:17" x14ac:dyDescent="0.2">
      <c r="A42" s="152"/>
      <c r="B42" s="152" t="s">
        <v>252</v>
      </c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</row>
    <row r="43" spans="1:17" x14ac:dyDescent="0.2">
      <c r="A43" s="245" t="s">
        <v>51</v>
      </c>
      <c r="B43" s="247"/>
      <c r="C43" s="247"/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3" t="s">
        <v>253</v>
      </c>
      <c r="P43" s="243" t="s">
        <v>254</v>
      </c>
      <c r="Q43" s="243" t="s">
        <v>255</v>
      </c>
    </row>
    <row r="44" spans="1:17" x14ac:dyDescent="0.2">
      <c r="A44" s="255" t="s">
        <v>15</v>
      </c>
      <c r="B44" s="356"/>
      <c r="C44" s="356"/>
      <c r="D44" s="356"/>
      <c r="E44" s="356"/>
      <c r="F44" s="356"/>
      <c r="G44" s="356"/>
      <c r="H44" s="356"/>
      <c r="I44" s="356"/>
      <c r="J44" s="356"/>
      <c r="K44" s="356"/>
      <c r="L44" s="356"/>
      <c r="M44" s="356"/>
      <c r="N44" s="356"/>
      <c r="O44" s="245">
        <f>SUM(B44:N44)</f>
        <v>0</v>
      </c>
      <c r="P44" s="357"/>
      <c r="Q44" s="245">
        <f>O44-P44</f>
        <v>0</v>
      </c>
    </row>
    <row r="45" spans="1:17" x14ac:dyDescent="0.2">
      <c r="A45" s="255" t="s">
        <v>16</v>
      </c>
      <c r="B45" s="356"/>
      <c r="C45" s="356"/>
      <c r="D45" s="356"/>
      <c r="E45" s="356"/>
      <c r="F45" s="356"/>
      <c r="G45" s="356"/>
      <c r="H45" s="356"/>
      <c r="I45" s="356"/>
      <c r="J45" s="356"/>
      <c r="K45" s="356"/>
      <c r="L45" s="356"/>
      <c r="M45" s="356"/>
      <c r="N45" s="356"/>
      <c r="O45" s="245">
        <f>SUM(B45:N45)</f>
        <v>0</v>
      </c>
      <c r="P45" s="357"/>
      <c r="Q45" s="245">
        <f>O45-P45</f>
        <v>0</v>
      </c>
    </row>
    <row r="46" spans="1:17" x14ac:dyDescent="0.2">
      <c r="A46" s="255" t="s">
        <v>17</v>
      </c>
      <c r="B46" s="356"/>
      <c r="C46" s="356"/>
      <c r="D46" s="356"/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245">
        <f>SUM(B46:N46)</f>
        <v>0</v>
      </c>
      <c r="P46" s="357"/>
      <c r="Q46" s="245">
        <f>O46-P46</f>
        <v>0</v>
      </c>
    </row>
    <row r="47" spans="1:17" x14ac:dyDescent="0.2">
      <c r="A47" s="255" t="s">
        <v>18</v>
      </c>
      <c r="B47" s="356"/>
      <c r="C47" s="356"/>
      <c r="D47" s="356"/>
      <c r="E47" s="356"/>
      <c r="F47" s="356"/>
      <c r="G47" s="356"/>
      <c r="H47" s="356"/>
      <c r="I47" s="356"/>
      <c r="J47" s="356"/>
      <c r="K47" s="356"/>
      <c r="L47" s="356"/>
      <c r="M47" s="356"/>
      <c r="N47" s="356"/>
      <c r="O47" s="245">
        <f>SUM(B47:N47)</f>
        <v>0</v>
      </c>
      <c r="P47" s="357"/>
      <c r="Q47" s="245">
        <f>O47-P47</f>
        <v>0</v>
      </c>
    </row>
    <row r="48" spans="1:17" x14ac:dyDescent="0.2">
      <c r="A48" s="255" t="s">
        <v>296</v>
      </c>
      <c r="B48" s="356"/>
      <c r="C48" s="356"/>
      <c r="D48" s="356"/>
      <c r="E48" s="356"/>
      <c r="F48" s="356"/>
      <c r="G48" s="356"/>
      <c r="H48" s="356"/>
      <c r="I48" s="356"/>
      <c r="J48" s="356"/>
      <c r="K48" s="356"/>
      <c r="L48" s="356"/>
      <c r="M48" s="356"/>
      <c r="N48" s="356"/>
      <c r="O48" s="245">
        <f>SUM(B48:N48)</f>
        <v>0</v>
      </c>
      <c r="P48" s="357"/>
      <c r="Q48" s="245">
        <f>O48-P48</f>
        <v>0</v>
      </c>
    </row>
    <row r="49" spans="1:17" x14ac:dyDescent="0.2">
      <c r="A49" s="145"/>
      <c r="B49" s="137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46"/>
      <c r="P49" s="147"/>
      <c r="Q49" s="146"/>
    </row>
    <row r="50" spans="1:17" x14ac:dyDescent="0.2">
      <c r="A50" s="145"/>
      <c r="B50" s="137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46"/>
      <c r="P50" s="147"/>
      <c r="Q50" s="146"/>
    </row>
    <row r="52" spans="1:17" ht="13.5" thickBot="1" x14ac:dyDescent="0.25">
      <c r="A52" s="149" t="s">
        <v>290</v>
      </c>
      <c r="B52" s="150"/>
      <c r="C52" s="150"/>
      <c r="D52" s="150"/>
      <c r="E52" s="150"/>
      <c r="F52" s="151"/>
      <c r="G52" s="151"/>
      <c r="H52" s="151"/>
      <c r="I52" s="151"/>
      <c r="J52" s="151"/>
      <c r="K52" s="151"/>
      <c r="L52" s="151"/>
      <c r="M52" s="151"/>
      <c r="N52" s="367" t="s">
        <v>234</v>
      </c>
      <c r="O52" s="152"/>
      <c r="P52" s="367" t="s">
        <v>299</v>
      </c>
      <c r="Q52" s="152"/>
    </row>
    <row r="53" spans="1:17" x14ac:dyDescent="0.2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</row>
    <row r="54" spans="1:17" x14ac:dyDescent="0.2">
      <c r="A54" s="152"/>
      <c r="B54" s="152" t="s">
        <v>252</v>
      </c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</row>
    <row r="55" spans="1:17" x14ac:dyDescent="0.2">
      <c r="A55" s="245" t="s">
        <v>51</v>
      </c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3" t="s">
        <v>253</v>
      </c>
      <c r="P55" s="243" t="s">
        <v>254</v>
      </c>
      <c r="Q55" s="243" t="s">
        <v>255</v>
      </c>
    </row>
    <row r="56" spans="1:17" x14ac:dyDescent="0.2">
      <c r="A56" s="255" t="s">
        <v>15</v>
      </c>
      <c r="B56" s="356"/>
      <c r="C56" s="356"/>
      <c r="D56" s="356"/>
      <c r="E56" s="356"/>
      <c r="F56" s="356"/>
      <c r="G56" s="356"/>
      <c r="H56" s="356"/>
      <c r="I56" s="356"/>
      <c r="J56" s="356"/>
      <c r="K56" s="356"/>
      <c r="L56" s="356"/>
      <c r="M56" s="356"/>
      <c r="N56" s="356"/>
      <c r="O56" s="245">
        <f>SUM(B56:N56)</f>
        <v>0</v>
      </c>
      <c r="P56" s="357"/>
      <c r="Q56" s="245">
        <f>O56-P56</f>
        <v>0</v>
      </c>
    </row>
    <row r="57" spans="1:17" x14ac:dyDescent="0.2">
      <c r="A57" s="255" t="s">
        <v>16</v>
      </c>
      <c r="B57" s="356"/>
      <c r="C57" s="356"/>
      <c r="D57" s="356"/>
      <c r="E57" s="356"/>
      <c r="F57" s="356"/>
      <c r="G57" s="356"/>
      <c r="H57" s="356"/>
      <c r="I57" s="356"/>
      <c r="J57" s="356"/>
      <c r="K57" s="356"/>
      <c r="L57" s="356"/>
      <c r="M57" s="356"/>
      <c r="N57" s="356"/>
      <c r="O57" s="245">
        <f>SUM(B57:N57)</f>
        <v>0</v>
      </c>
      <c r="P57" s="357"/>
      <c r="Q57" s="245">
        <f>O57-P57</f>
        <v>0</v>
      </c>
    </row>
    <row r="58" spans="1:17" x14ac:dyDescent="0.2">
      <c r="A58" s="255" t="s">
        <v>17</v>
      </c>
      <c r="B58" s="356"/>
      <c r="C58" s="356"/>
      <c r="D58" s="356"/>
      <c r="E58" s="356"/>
      <c r="F58" s="356"/>
      <c r="G58" s="356"/>
      <c r="H58" s="356"/>
      <c r="I58" s="356"/>
      <c r="J58" s="356"/>
      <c r="K58" s="356"/>
      <c r="L58" s="356"/>
      <c r="M58" s="356"/>
      <c r="N58" s="356"/>
      <c r="O58" s="245">
        <f>SUM(B58:N58)</f>
        <v>0</v>
      </c>
      <c r="P58" s="357"/>
      <c r="Q58" s="245">
        <f>O58-P58</f>
        <v>0</v>
      </c>
    </row>
    <row r="59" spans="1:17" x14ac:dyDescent="0.2">
      <c r="A59" s="255" t="s">
        <v>18</v>
      </c>
      <c r="B59" s="356"/>
      <c r="C59" s="356"/>
      <c r="D59" s="356"/>
      <c r="E59" s="356"/>
      <c r="F59" s="356"/>
      <c r="G59" s="356"/>
      <c r="H59" s="356"/>
      <c r="I59" s="356"/>
      <c r="J59" s="356"/>
      <c r="K59" s="356"/>
      <c r="L59" s="356"/>
      <c r="M59" s="356"/>
      <c r="N59" s="356"/>
      <c r="O59" s="245">
        <f>SUM(B59:N59)</f>
        <v>0</v>
      </c>
      <c r="P59" s="357"/>
      <c r="Q59" s="245">
        <f>O59-P59</f>
        <v>0</v>
      </c>
    </row>
    <row r="60" spans="1:17" x14ac:dyDescent="0.2">
      <c r="A60" s="255" t="s">
        <v>296</v>
      </c>
      <c r="B60" s="356"/>
      <c r="C60" s="356"/>
      <c r="D60" s="356"/>
      <c r="E60" s="356"/>
      <c r="F60" s="356"/>
      <c r="G60" s="356"/>
      <c r="H60" s="356"/>
      <c r="I60" s="356"/>
      <c r="J60" s="356"/>
      <c r="K60" s="356"/>
      <c r="L60" s="356"/>
      <c r="M60" s="356"/>
      <c r="N60" s="356"/>
      <c r="O60" s="245">
        <f>SUM(B60:N60)</f>
        <v>0</v>
      </c>
      <c r="P60" s="357"/>
      <c r="Q60" s="245">
        <f>O60-P60</f>
        <v>0</v>
      </c>
    </row>
    <row r="61" spans="1:17" x14ac:dyDescent="0.2">
      <c r="A61" s="145"/>
      <c r="B61" s="137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46"/>
      <c r="P61" s="147"/>
      <c r="Q61" s="146"/>
    </row>
    <row r="64" spans="1:17" ht="13.5" thickBot="1" x14ac:dyDescent="0.25">
      <c r="A64" s="149" t="s">
        <v>291</v>
      </c>
      <c r="B64" s="150"/>
      <c r="C64" s="150"/>
      <c r="D64" s="150"/>
      <c r="E64" s="150"/>
      <c r="F64" s="151"/>
      <c r="G64" s="151"/>
      <c r="H64" s="151"/>
      <c r="I64" s="151"/>
      <c r="J64" s="151"/>
      <c r="K64" s="151"/>
      <c r="L64" s="151"/>
      <c r="M64" s="151"/>
      <c r="N64" s="151"/>
      <c r="O64" s="152"/>
      <c r="P64" s="152"/>
      <c r="Q64" s="152"/>
    </row>
    <row r="65" spans="1:17" x14ac:dyDescent="0.2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</row>
    <row r="66" spans="1:17" x14ac:dyDescent="0.2">
      <c r="A66" s="152"/>
      <c r="B66" s="152" t="s">
        <v>252</v>
      </c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</row>
    <row r="67" spans="1:17" x14ac:dyDescent="0.2">
      <c r="A67" s="245" t="s">
        <v>51</v>
      </c>
      <c r="B67" s="247"/>
      <c r="C67" s="247"/>
      <c r="D67" s="247"/>
      <c r="E67" s="247"/>
      <c r="F67" s="247"/>
      <c r="G67" s="247"/>
      <c r="H67" s="247"/>
      <c r="I67" s="247"/>
      <c r="J67" s="247"/>
      <c r="K67" s="247"/>
      <c r="L67" s="247"/>
      <c r="M67" s="247"/>
      <c r="N67" s="247"/>
      <c r="O67" s="243" t="s">
        <v>253</v>
      </c>
      <c r="P67" s="243" t="s">
        <v>254</v>
      </c>
      <c r="Q67" s="243" t="s">
        <v>255</v>
      </c>
    </row>
    <row r="68" spans="1:17" x14ac:dyDescent="0.2">
      <c r="A68" s="255" t="s">
        <v>15</v>
      </c>
      <c r="B68" s="356"/>
      <c r="C68" s="356"/>
      <c r="D68" s="356"/>
      <c r="E68" s="356"/>
      <c r="F68" s="356"/>
      <c r="G68" s="356"/>
      <c r="H68" s="356"/>
      <c r="I68" s="356"/>
      <c r="J68" s="356"/>
      <c r="K68" s="356"/>
      <c r="L68" s="356"/>
      <c r="M68" s="356"/>
      <c r="N68" s="356"/>
      <c r="O68" s="245">
        <f>SUM(B68:N68)</f>
        <v>0</v>
      </c>
      <c r="P68" s="357"/>
      <c r="Q68" s="245">
        <f>O68-P68</f>
        <v>0</v>
      </c>
    </row>
    <row r="69" spans="1:17" x14ac:dyDescent="0.2">
      <c r="A69" s="255" t="s">
        <v>16</v>
      </c>
      <c r="B69" s="356"/>
      <c r="C69" s="356"/>
      <c r="D69" s="356"/>
      <c r="E69" s="356"/>
      <c r="F69" s="356"/>
      <c r="G69" s="356"/>
      <c r="H69" s="356"/>
      <c r="I69" s="356"/>
      <c r="J69" s="356"/>
      <c r="K69" s="356"/>
      <c r="L69" s="356"/>
      <c r="M69" s="356"/>
      <c r="N69" s="356"/>
      <c r="O69" s="245">
        <f>SUM(B69:N69)</f>
        <v>0</v>
      </c>
      <c r="P69" s="357"/>
      <c r="Q69" s="245">
        <f>O69-P69</f>
        <v>0</v>
      </c>
    </row>
    <row r="70" spans="1:17" x14ac:dyDescent="0.2">
      <c r="A70" s="255" t="s">
        <v>17</v>
      </c>
      <c r="B70" s="356"/>
      <c r="C70" s="356"/>
      <c r="D70" s="356"/>
      <c r="E70" s="356"/>
      <c r="F70" s="356"/>
      <c r="G70" s="356"/>
      <c r="H70" s="356"/>
      <c r="I70" s="356"/>
      <c r="J70" s="356"/>
      <c r="K70" s="356"/>
      <c r="L70" s="356"/>
      <c r="M70" s="356"/>
      <c r="N70" s="356"/>
      <c r="O70" s="245">
        <f>SUM(B70:N70)</f>
        <v>0</v>
      </c>
      <c r="P70" s="357"/>
      <c r="Q70" s="245">
        <f>O70-P70</f>
        <v>0</v>
      </c>
    </row>
    <row r="71" spans="1:17" x14ac:dyDescent="0.2">
      <c r="A71" s="255" t="s">
        <v>18</v>
      </c>
      <c r="B71" s="356"/>
      <c r="C71" s="356"/>
      <c r="D71" s="356"/>
      <c r="E71" s="356"/>
      <c r="F71" s="356"/>
      <c r="G71" s="356"/>
      <c r="H71" s="356"/>
      <c r="I71" s="356"/>
      <c r="J71" s="356"/>
      <c r="K71" s="356"/>
      <c r="L71" s="356"/>
      <c r="M71" s="356"/>
      <c r="N71" s="356"/>
      <c r="O71" s="245">
        <f>SUM(B71:N71)</f>
        <v>0</v>
      </c>
      <c r="P71" s="357"/>
      <c r="Q71" s="245">
        <f>O71-P71</f>
        <v>0</v>
      </c>
    </row>
    <row r="72" spans="1:17" x14ac:dyDescent="0.2">
      <c r="A72" s="255" t="s">
        <v>296</v>
      </c>
      <c r="B72" s="356"/>
      <c r="C72" s="356"/>
      <c r="D72" s="356"/>
      <c r="E72" s="356"/>
      <c r="F72" s="356"/>
      <c r="G72" s="356"/>
      <c r="H72" s="356"/>
      <c r="I72" s="356"/>
      <c r="J72" s="356"/>
      <c r="K72" s="356"/>
      <c r="L72" s="356"/>
      <c r="M72" s="356"/>
      <c r="N72" s="356"/>
      <c r="O72" s="245">
        <f>SUM(B72:N72)</f>
        <v>0</v>
      </c>
      <c r="P72" s="357"/>
      <c r="Q72" s="245">
        <f>O72-P72</f>
        <v>0</v>
      </c>
    </row>
    <row r="73" spans="1:17" x14ac:dyDescent="0.2">
      <c r="A73" s="145"/>
      <c r="B73" s="137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46"/>
      <c r="P73" s="147"/>
      <c r="Q73" s="146"/>
    </row>
    <row r="74" spans="1:17" x14ac:dyDescent="0.2">
      <c r="A74" s="145"/>
      <c r="B74" s="137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46"/>
      <c r="P74" s="147"/>
      <c r="Q74" s="146"/>
    </row>
    <row r="75" spans="1:17" x14ac:dyDescent="0.2">
      <c r="A75" s="145"/>
      <c r="B75" s="137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46"/>
      <c r="P75" s="147"/>
      <c r="Q75" s="146"/>
    </row>
    <row r="76" spans="1:17" x14ac:dyDescent="0.2">
      <c r="A76" s="145"/>
      <c r="B76" s="137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46"/>
      <c r="P76" s="147"/>
      <c r="Q76" s="146"/>
    </row>
    <row r="77" spans="1:17" x14ac:dyDescent="0.2">
      <c r="A77" s="145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46"/>
      <c r="P77" s="147"/>
      <c r="Q77" s="146"/>
    </row>
    <row r="78" spans="1:17" ht="13.5" thickBot="1" x14ac:dyDescent="0.25">
      <c r="A78" s="149" t="s">
        <v>292</v>
      </c>
      <c r="B78" s="150"/>
      <c r="C78" s="150"/>
      <c r="D78" s="150"/>
      <c r="E78" s="150"/>
      <c r="F78" s="151"/>
      <c r="G78" s="151"/>
      <c r="H78" s="151"/>
      <c r="I78" s="151"/>
      <c r="J78" s="151"/>
      <c r="K78" s="151"/>
      <c r="L78" s="151"/>
      <c r="M78" s="151"/>
      <c r="N78" s="367" t="s">
        <v>234</v>
      </c>
      <c r="O78" s="152"/>
      <c r="P78" s="367" t="s">
        <v>299</v>
      </c>
      <c r="Q78" s="152"/>
    </row>
    <row r="79" spans="1:17" x14ac:dyDescent="0.2">
      <c r="A79" s="152"/>
      <c r="B79" s="152"/>
      <c r="C79" s="152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</row>
    <row r="80" spans="1:17" x14ac:dyDescent="0.2">
      <c r="A80" s="152"/>
      <c r="B80" s="152" t="s">
        <v>252</v>
      </c>
      <c r="C80" s="152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</row>
    <row r="81" spans="1:17" x14ac:dyDescent="0.2">
      <c r="A81" s="245" t="s">
        <v>51</v>
      </c>
      <c r="B81" s="247"/>
      <c r="C81" s="247"/>
      <c r="D81" s="247"/>
      <c r="E81" s="247"/>
      <c r="F81" s="247"/>
      <c r="G81" s="247"/>
      <c r="H81" s="247"/>
      <c r="I81" s="247"/>
      <c r="J81" s="247"/>
      <c r="K81" s="247"/>
      <c r="L81" s="247"/>
      <c r="M81" s="247"/>
      <c r="N81" s="247"/>
      <c r="O81" s="243" t="s">
        <v>253</v>
      </c>
      <c r="P81" s="243" t="s">
        <v>254</v>
      </c>
      <c r="Q81" s="243" t="s">
        <v>255</v>
      </c>
    </row>
    <row r="82" spans="1:17" x14ac:dyDescent="0.2">
      <c r="A82" s="255" t="s">
        <v>15</v>
      </c>
      <c r="B82" s="356"/>
      <c r="C82" s="356"/>
      <c r="D82" s="356"/>
      <c r="E82" s="356"/>
      <c r="F82" s="356"/>
      <c r="G82" s="356"/>
      <c r="H82" s="356"/>
      <c r="I82" s="356"/>
      <c r="J82" s="356"/>
      <c r="K82" s="356"/>
      <c r="L82" s="356"/>
      <c r="M82" s="356"/>
      <c r="N82" s="356"/>
      <c r="O82" s="245">
        <f>SUM(B82:N82)</f>
        <v>0</v>
      </c>
      <c r="P82" s="357"/>
      <c r="Q82" s="245">
        <f>O82-P82</f>
        <v>0</v>
      </c>
    </row>
    <row r="83" spans="1:17" x14ac:dyDescent="0.2">
      <c r="A83" s="255" t="s">
        <v>16</v>
      </c>
      <c r="B83" s="356"/>
      <c r="C83" s="356"/>
      <c r="D83" s="356"/>
      <c r="E83" s="356"/>
      <c r="F83" s="356"/>
      <c r="G83" s="356"/>
      <c r="H83" s="356"/>
      <c r="I83" s="356"/>
      <c r="J83" s="356"/>
      <c r="K83" s="356"/>
      <c r="L83" s="356"/>
      <c r="M83" s="356"/>
      <c r="N83" s="356"/>
      <c r="O83" s="245">
        <f>SUM(B83:N83)</f>
        <v>0</v>
      </c>
      <c r="P83" s="357"/>
      <c r="Q83" s="245">
        <f>O83-P83</f>
        <v>0</v>
      </c>
    </row>
    <row r="84" spans="1:17" x14ac:dyDescent="0.2">
      <c r="A84" s="255" t="s">
        <v>17</v>
      </c>
      <c r="B84" s="356"/>
      <c r="C84" s="356"/>
      <c r="D84" s="356"/>
      <c r="E84" s="356"/>
      <c r="F84" s="356"/>
      <c r="G84" s="356"/>
      <c r="H84" s="356"/>
      <c r="I84" s="356"/>
      <c r="J84" s="356"/>
      <c r="K84" s="356"/>
      <c r="L84" s="356"/>
      <c r="M84" s="356"/>
      <c r="N84" s="356"/>
      <c r="O84" s="245">
        <f>SUM(B84:N84)</f>
        <v>0</v>
      </c>
      <c r="P84" s="357"/>
      <c r="Q84" s="245">
        <f>O84-P84</f>
        <v>0</v>
      </c>
    </row>
    <row r="85" spans="1:17" x14ac:dyDescent="0.2">
      <c r="A85" s="255" t="s">
        <v>18</v>
      </c>
      <c r="B85" s="356"/>
      <c r="C85" s="356"/>
      <c r="D85" s="356"/>
      <c r="E85" s="356"/>
      <c r="F85" s="356"/>
      <c r="G85" s="356"/>
      <c r="H85" s="356"/>
      <c r="I85" s="356"/>
      <c r="J85" s="356"/>
      <c r="K85" s="356"/>
      <c r="L85" s="356"/>
      <c r="M85" s="356"/>
      <c r="N85" s="356"/>
      <c r="O85" s="245">
        <f>SUM(B85:N85)</f>
        <v>0</v>
      </c>
      <c r="P85" s="357"/>
      <c r="Q85" s="245">
        <f>O85-P85</f>
        <v>0</v>
      </c>
    </row>
    <row r="86" spans="1:17" x14ac:dyDescent="0.2">
      <c r="A86" s="255" t="s">
        <v>296</v>
      </c>
      <c r="B86" s="356"/>
      <c r="C86" s="356"/>
      <c r="D86" s="356"/>
      <c r="E86" s="356"/>
      <c r="F86" s="356"/>
      <c r="G86" s="356"/>
      <c r="H86" s="356"/>
      <c r="I86" s="356"/>
      <c r="J86" s="356"/>
      <c r="K86" s="356"/>
      <c r="L86" s="356"/>
      <c r="M86" s="356"/>
      <c r="N86" s="356"/>
      <c r="O86" s="245">
        <f>SUM(B86:N86)</f>
        <v>0</v>
      </c>
      <c r="P86" s="357"/>
      <c r="Q86" s="245">
        <f>O86-P86</f>
        <v>0</v>
      </c>
    </row>
    <row r="90" spans="1:17" ht="13.5" thickBot="1" x14ac:dyDescent="0.25">
      <c r="A90" s="149" t="s">
        <v>293</v>
      </c>
      <c r="B90" s="150"/>
      <c r="C90" s="150"/>
      <c r="D90" s="150"/>
      <c r="E90" s="150"/>
      <c r="F90" s="150"/>
      <c r="G90" s="151"/>
      <c r="H90" s="151"/>
      <c r="I90" s="151"/>
      <c r="J90" s="151"/>
      <c r="K90" s="151"/>
      <c r="L90" s="151"/>
      <c r="M90" s="151"/>
      <c r="N90" s="151"/>
      <c r="O90" s="152"/>
      <c r="P90" s="152"/>
      <c r="Q90" s="152"/>
    </row>
    <row r="91" spans="1:17" x14ac:dyDescent="0.2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</row>
    <row r="92" spans="1:17" x14ac:dyDescent="0.2">
      <c r="A92" s="152"/>
      <c r="B92" s="152" t="s">
        <v>252</v>
      </c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</row>
    <row r="93" spans="1:17" x14ac:dyDescent="0.2">
      <c r="A93" s="245" t="s">
        <v>51</v>
      </c>
      <c r="B93" s="247"/>
      <c r="C93" s="247"/>
      <c r="D93" s="247"/>
      <c r="E93" s="247"/>
      <c r="F93" s="247"/>
      <c r="G93" s="247"/>
      <c r="H93" s="247"/>
      <c r="I93" s="247"/>
      <c r="J93" s="247"/>
      <c r="K93" s="247"/>
      <c r="L93" s="247"/>
      <c r="M93" s="247"/>
      <c r="N93" s="247"/>
      <c r="O93" s="243" t="s">
        <v>253</v>
      </c>
      <c r="P93" s="243" t="s">
        <v>254</v>
      </c>
      <c r="Q93" s="243" t="s">
        <v>255</v>
      </c>
    </row>
    <row r="94" spans="1:17" x14ac:dyDescent="0.2">
      <c r="A94" s="255" t="s">
        <v>15</v>
      </c>
      <c r="B94" s="356"/>
      <c r="C94" s="356"/>
      <c r="D94" s="356"/>
      <c r="E94" s="356"/>
      <c r="F94" s="356"/>
      <c r="G94" s="356"/>
      <c r="H94" s="356"/>
      <c r="I94" s="356"/>
      <c r="J94" s="356"/>
      <c r="K94" s="356"/>
      <c r="L94" s="356"/>
      <c r="M94" s="356"/>
      <c r="N94" s="356"/>
      <c r="O94" s="245">
        <f>SUM(B94:N94)</f>
        <v>0</v>
      </c>
      <c r="P94" s="357"/>
      <c r="Q94" s="245">
        <f>O94-P94</f>
        <v>0</v>
      </c>
    </row>
    <row r="95" spans="1:17" x14ac:dyDescent="0.2">
      <c r="A95" s="255" t="s">
        <v>16</v>
      </c>
      <c r="B95" s="356"/>
      <c r="C95" s="356"/>
      <c r="D95" s="356"/>
      <c r="E95" s="356"/>
      <c r="F95" s="356"/>
      <c r="G95" s="356"/>
      <c r="H95" s="356"/>
      <c r="I95" s="356"/>
      <c r="J95" s="356"/>
      <c r="K95" s="356"/>
      <c r="L95" s="356"/>
      <c r="M95" s="356"/>
      <c r="N95" s="356"/>
      <c r="O95" s="245">
        <f>SUM(B95:N95)</f>
        <v>0</v>
      </c>
      <c r="P95" s="357"/>
      <c r="Q95" s="245">
        <f>O95-P95</f>
        <v>0</v>
      </c>
    </row>
    <row r="96" spans="1:17" x14ac:dyDescent="0.2">
      <c r="A96" s="255" t="s">
        <v>17</v>
      </c>
      <c r="B96" s="356"/>
      <c r="C96" s="356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6"/>
      <c r="O96" s="245">
        <f>SUM(B96:N96)</f>
        <v>0</v>
      </c>
      <c r="P96" s="357"/>
      <c r="Q96" s="245">
        <f>O96-P96</f>
        <v>0</v>
      </c>
    </row>
    <row r="97" spans="1:17" x14ac:dyDescent="0.2">
      <c r="A97" s="255" t="s">
        <v>18</v>
      </c>
      <c r="B97" s="356"/>
      <c r="C97" s="356"/>
      <c r="D97" s="356"/>
      <c r="E97" s="356"/>
      <c r="F97" s="356"/>
      <c r="G97" s="356"/>
      <c r="H97" s="356"/>
      <c r="I97" s="356"/>
      <c r="J97" s="356"/>
      <c r="K97" s="356"/>
      <c r="L97" s="356"/>
      <c r="M97" s="356"/>
      <c r="N97" s="356"/>
      <c r="O97" s="245">
        <f>SUM(B97:N97)</f>
        <v>0</v>
      </c>
      <c r="P97" s="357"/>
      <c r="Q97" s="245">
        <f>O97-P97</f>
        <v>0</v>
      </c>
    </row>
    <row r="98" spans="1:17" x14ac:dyDescent="0.2">
      <c r="A98" s="255" t="s">
        <v>296</v>
      </c>
      <c r="B98" s="356"/>
      <c r="C98" s="356"/>
      <c r="D98" s="356"/>
      <c r="E98" s="356"/>
      <c r="F98" s="356"/>
      <c r="G98" s="356"/>
      <c r="H98" s="356"/>
      <c r="I98" s="356"/>
      <c r="J98" s="356"/>
      <c r="K98" s="356"/>
      <c r="L98" s="356"/>
      <c r="M98" s="356"/>
      <c r="N98" s="356"/>
      <c r="O98" s="245">
        <f>SUM(B98:N98)</f>
        <v>0</v>
      </c>
      <c r="P98" s="357"/>
      <c r="Q98" s="245">
        <f>O98-P98</f>
        <v>0</v>
      </c>
    </row>
    <row r="102" spans="1:17" ht="13.5" thickBot="1" x14ac:dyDescent="0.25">
      <c r="A102" s="149" t="s">
        <v>294</v>
      </c>
      <c r="B102" s="150"/>
      <c r="C102" s="150"/>
      <c r="D102" s="150"/>
      <c r="E102" s="150"/>
      <c r="F102" s="151"/>
      <c r="G102" s="151"/>
      <c r="H102" s="151"/>
      <c r="I102" s="151"/>
      <c r="J102" s="151"/>
      <c r="K102" s="151"/>
      <c r="L102" s="151"/>
      <c r="M102" s="151"/>
      <c r="N102" s="367" t="s">
        <v>234</v>
      </c>
      <c r="O102" s="152"/>
      <c r="P102" s="367" t="s">
        <v>299</v>
      </c>
      <c r="Q102" s="152"/>
    </row>
    <row r="103" spans="1:17" x14ac:dyDescent="0.2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</row>
    <row r="104" spans="1:17" x14ac:dyDescent="0.2">
      <c r="A104" s="152"/>
      <c r="B104" s="152" t="s">
        <v>252</v>
      </c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</row>
    <row r="105" spans="1:17" x14ac:dyDescent="0.2">
      <c r="A105" s="245" t="s">
        <v>51</v>
      </c>
      <c r="B105" s="247"/>
      <c r="C105" s="247"/>
      <c r="D105" s="247"/>
      <c r="E105" s="247"/>
      <c r="F105" s="247"/>
      <c r="G105" s="247"/>
      <c r="H105" s="247"/>
      <c r="I105" s="247"/>
      <c r="J105" s="247"/>
      <c r="K105" s="247"/>
      <c r="L105" s="247"/>
      <c r="M105" s="247"/>
      <c r="N105" s="247"/>
      <c r="O105" s="243" t="s">
        <v>253</v>
      </c>
      <c r="P105" s="243" t="s">
        <v>254</v>
      </c>
      <c r="Q105" s="243" t="s">
        <v>255</v>
      </c>
    </row>
    <row r="106" spans="1:17" x14ac:dyDescent="0.2">
      <c r="A106" s="255" t="s">
        <v>15</v>
      </c>
      <c r="B106" s="356"/>
      <c r="C106" s="356"/>
      <c r="D106" s="356"/>
      <c r="E106" s="356"/>
      <c r="F106" s="356"/>
      <c r="G106" s="356"/>
      <c r="H106" s="356"/>
      <c r="I106" s="356"/>
      <c r="J106" s="356"/>
      <c r="K106" s="356"/>
      <c r="L106" s="356"/>
      <c r="M106" s="356"/>
      <c r="N106" s="356"/>
      <c r="O106" s="245">
        <f>SUM(B106:N106)</f>
        <v>0</v>
      </c>
      <c r="P106" s="357"/>
      <c r="Q106" s="245">
        <f>O106-P106</f>
        <v>0</v>
      </c>
    </row>
    <row r="107" spans="1:17" x14ac:dyDescent="0.2">
      <c r="A107" s="255" t="s">
        <v>16</v>
      </c>
      <c r="B107" s="356"/>
      <c r="C107" s="356"/>
      <c r="D107" s="356"/>
      <c r="E107" s="356"/>
      <c r="F107" s="356"/>
      <c r="G107" s="356"/>
      <c r="H107" s="356"/>
      <c r="I107" s="356"/>
      <c r="J107" s="356"/>
      <c r="K107" s="356"/>
      <c r="L107" s="356"/>
      <c r="M107" s="356"/>
      <c r="N107" s="356"/>
      <c r="O107" s="245">
        <f>SUM(B107:N107)</f>
        <v>0</v>
      </c>
      <c r="P107" s="357"/>
      <c r="Q107" s="245">
        <f>O107-P107</f>
        <v>0</v>
      </c>
    </row>
    <row r="108" spans="1:17" x14ac:dyDescent="0.2">
      <c r="A108" s="255" t="s">
        <v>17</v>
      </c>
      <c r="B108" s="356"/>
      <c r="C108" s="356"/>
      <c r="D108" s="356"/>
      <c r="E108" s="356"/>
      <c r="F108" s="356"/>
      <c r="G108" s="356"/>
      <c r="H108" s="356"/>
      <c r="I108" s="356"/>
      <c r="J108" s="356"/>
      <c r="K108" s="356"/>
      <c r="L108" s="356"/>
      <c r="M108" s="356"/>
      <c r="N108" s="356"/>
      <c r="O108" s="245">
        <f>SUM(B108:N108)</f>
        <v>0</v>
      </c>
      <c r="P108" s="357"/>
      <c r="Q108" s="245">
        <f>O108-P108</f>
        <v>0</v>
      </c>
    </row>
    <row r="109" spans="1:17" x14ac:dyDescent="0.2">
      <c r="A109" s="255" t="s">
        <v>18</v>
      </c>
      <c r="B109" s="356"/>
      <c r="C109" s="356"/>
      <c r="D109" s="356"/>
      <c r="E109" s="356"/>
      <c r="F109" s="356"/>
      <c r="G109" s="356"/>
      <c r="H109" s="356"/>
      <c r="I109" s="356"/>
      <c r="J109" s="356"/>
      <c r="K109" s="356"/>
      <c r="L109" s="356"/>
      <c r="M109" s="356"/>
      <c r="N109" s="356"/>
      <c r="O109" s="245">
        <f>SUM(B109:N109)</f>
        <v>0</v>
      </c>
      <c r="P109" s="357"/>
      <c r="Q109" s="245">
        <f>O109-P109</f>
        <v>0</v>
      </c>
    </row>
    <row r="110" spans="1:17" x14ac:dyDescent="0.2">
      <c r="A110" s="255" t="s">
        <v>296</v>
      </c>
      <c r="B110" s="356"/>
      <c r="C110" s="356"/>
      <c r="D110" s="356"/>
      <c r="E110" s="356"/>
      <c r="F110" s="356"/>
      <c r="G110" s="356"/>
      <c r="H110" s="356"/>
      <c r="I110" s="356"/>
      <c r="J110" s="356"/>
      <c r="K110" s="356"/>
      <c r="L110" s="356"/>
      <c r="M110" s="356"/>
      <c r="N110" s="356"/>
      <c r="O110" s="245">
        <f>SUM(B110:N110)</f>
        <v>0</v>
      </c>
      <c r="P110" s="357"/>
      <c r="Q110" s="245">
        <f>O110-P110</f>
        <v>0</v>
      </c>
    </row>
    <row r="111" spans="1:17" x14ac:dyDescent="0.2">
      <c r="A111" s="145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46"/>
      <c r="P111" s="147"/>
      <c r="Q111" s="146"/>
    </row>
    <row r="112" spans="1:17" x14ac:dyDescent="0.2">
      <c r="A112" s="145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46"/>
      <c r="P112" s="147"/>
      <c r="Q112" s="146"/>
    </row>
    <row r="113" spans="1:17" x14ac:dyDescent="0.2">
      <c r="A113" s="145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46"/>
      <c r="P113" s="147"/>
      <c r="Q113" s="146"/>
    </row>
    <row r="114" spans="1:17" x14ac:dyDescent="0.2">
      <c r="A114" s="145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46"/>
      <c r="P114" s="147"/>
      <c r="Q114" s="146"/>
    </row>
    <row r="117" spans="1:17" ht="13.5" thickBot="1" x14ac:dyDescent="0.25">
      <c r="A117" s="149" t="s">
        <v>295</v>
      </c>
      <c r="B117" s="150"/>
      <c r="C117" s="150"/>
      <c r="D117" s="150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2"/>
      <c r="P117" s="152"/>
      <c r="Q117" s="152"/>
    </row>
    <row r="118" spans="1:17" x14ac:dyDescent="0.2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</row>
    <row r="119" spans="1:17" x14ac:dyDescent="0.2">
      <c r="A119" s="152"/>
      <c r="B119" s="152" t="s">
        <v>252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</row>
    <row r="120" spans="1:17" x14ac:dyDescent="0.2">
      <c r="A120" s="245" t="s">
        <v>51</v>
      </c>
      <c r="B120" s="247"/>
      <c r="C120" s="247"/>
      <c r="D120" s="247"/>
      <c r="E120" s="247"/>
      <c r="F120" s="247"/>
      <c r="G120" s="247"/>
      <c r="H120" s="247"/>
      <c r="I120" s="247"/>
      <c r="J120" s="247"/>
      <c r="K120" s="247"/>
      <c r="L120" s="247"/>
      <c r="M120" s="247"/>
      <c r="N120" s="247"/>
      <c r="O120" s="243" t="s">
        <v>253</v>
      </c>
      <c r="P120" s="243" t="s">
        <v>254</v>
      </c>
      <c r="Q120" s="243" t="s">
        <v>255</v>
      </c>
    </row>
    <row r="121" spans="1:17" x14ac:dyDescent="0.2">
      <c r="A121" s="255" t="s">
        <v>15</v>
      </c>
      <c r="B121" s="356"/>
      <c r="C121" s="356"/>
      <c r="D121" s="356"/>
      <c r="E121" s="356"/>
      <c r="F121" s="356"/>
      <c r="G121" s="356"/>
      <c r="H121" s="356"/>
      <c r="I121" s="356"/>
      <c r="J121" s="356"/>
      <c r="K121" s="356"/>
      <c r="L121" s="356"/>
      <c r="M121" s="356"/>
      <c r="N121" s="356"/>
      <c r="O121" s="245">
        <f>SUM(B121:N121)</f>
        <v>0</v>
      </c>
      <c r="P121" s="357"/>
      <c r="Q121" s="245">
        <f>O121-P121</f>
        <v>0</v>
      </c>
    </row>
    <row r="122" spans="1:17" x14ac:dyDescent="0.2">
      <c r="A122" s="255" t="s">
        <v>16</v>
      </c>
      <c r="B122" s="356"/>
      <c r="C122" s="356"/>
      <c r="D122" s="356"/>
      <c r="E122" s="356"/>
      <c r="F122" s="356"/>
      <c r="G122" s="356"/>
      <c r="H122" s="356"/>
      <c r="I122" s="356"/>
      <c r="J122" s="356"/>
      <c r="K122" s="356"/>
      <c r="L122" s="356"/>
      <c r="M122" s="356"/>
      <c r="N122" s="356"/>
      <c r="O122" s="245">
        <f>SUM(B122:N122)</f>
        <v>0</v>
      </c>
      <c r="P122" s="357"/>
      <c r="Q122" s="245">
        <f>O122-P122</f>
        <v>0</v>
      </c>
    </row>
    <row r="123" spans="1:17" x14ac:dyDescent="0.2">
      <c r="A123" s="255" t="s">
        <v>17</v>
      </c>
      <c r="B123" s="356"/>
      <c r="C123" s="356"/>
      <c r="D123" s="356"/>
      <c r="E123" s="356"/>
      <c r="F123" s="356"/>
      <c r="G123" s="356"/>
      <c r="H123" s="356"/>
      <c r="I123" s="356"/>
      <c r="J123" s="356"/>
      <c r="K123" s="356"/>
      <c r="L123" s="356"/>
      <c r="M123" s="356"/>
      <c r="N123" s="356"/>
      <c r="O123" s="245">
        <f>SUM(B123:N123)</f>
        <v>0</v>
      </c>
      <c r="P123" s="357"/>
      <c r="Q123" s="245">
        <f>O123-P123</f>
        <v>0</v>
      </c>
    </row>
    <row r="124" spans="1:17" x14ac:dyDescent="0.2">
      <c r="A124" s="255" t="s">
        <v>18</v>
      </c>
      <c r="B124" s="356"/>
      <c r="C124" s="356"/>
      <c r="D124" s="356"/>
      <c r="E124" s="356"/>
      <c r="F124" s="356"/>
      <c r="G124" s="356"/>
      <c r="H124" s="356"/>
      <c r="I124" s="356"/>
      <c r="J124" s="356"/>
      <c r="K124" s="356"/>
      <c r="L124" s="356"/>
      <c r="M124" s="356"/>
      <c r="N124" s="356"/>
      <c r="O124" s="245">
        <f>SUM(B124:N124)</f>
        <v>0</v>
      </c>
      <c r="P124" s="357"/>
      <c r="Q124" s="245">
        <f>O124-P124</f>
        <v>0</v>
      </c>
    </row>
    <row r="125" spans="1:17" x14ac:dyDescent="0.2">
      <c r="A125" s="255" t="s">
        <v>296</v>
      </c>
      <c r="B125" s="356"/>
      <c r="C125" s="356"/>
      <c r="D125" s="356"/>
      <c r="E125" s="356"/>
      <c r="F125" s="356"/>
      <c r="G125" s="356"/>
      <c r="H125" s="356"/>
      <c r="I125" s="356"/>
      <c r="J125" s="356"/>
      <c r="K125" s="356"/>
      <c r="L125" s="356"/>
      <c r="M125" s="356"/>
      <c r="N125" s="356"/>
      <c r="O125" s="245">
        <f>SUM(B125:N125)</f>
        <v>0</v>
      </c>
      <c r="P125" s="357"/>
      <c r="Q125" s="245">
        <f>O125-P125</f>
        <v>0</v>
      </c>
    </row>
    <row r="129" spans="1:17" ht="13.5" thickBot="1" x14ac:dyDescent="0.25">
      <c r="A129" s="149" t="s">
        <v>297</v>
      </c>
      <c r="B129" s="150"/>
      <c r="C129" s="150"/>
      <c r="D129" s="150"/>
      <c r="E129" s="150"/>
      <c r="F129" s="151"/>
      <c r="G129" s="151"/>
      <c r="H129" s="151"/>
      <c r="I129" s="151"/>
      <c r="J129" s="151"/>
      <c r="K129" s="151"/>
      <c r="L129" s="151"/>
      <c r="M129" s="151"/>
      <c r="N129" s="367" t="s">
        <v>234</v>
      </c>
      <c r="O129" s="152"/>
      <c r="P129" s="367" t="s">
        <v>299</v>
      </c>
      <c r="Q129" s="152"/>
    </row>
    <row r="130" spans="1:17" x14ac:dyDescent="0.2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</row>
    <row r="131" spans="1:17" x14ac:dyDescent="0.2">
      <c r="A131" s="152"/>
      <c r="B131" s="152" t="s">
        <v>252</v>
      </c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</row>
    <row r="132" spans="1:17" x14ac:dyDescent="0.2">
      <c r="A132" s="245" t="s">
        <v>501</v>
      </c>
      <c r="B132" s="247"/>
      <c r="C132" s="247"/>
      <c r="D132" s="247"/>
      <c r="E132" s="247"/>
      <c r="F132" s="247"/>
      <c r="G132" s="247"/>
      <c r="H132" s="247"/>
      <c r="I132" s="247"/>
      <c r="J132" s="247"/>
      <c r="K132" s="247"/>
      <c r="L132" s="247"/>
      <c r="M132" s="247"/>
      <c r="N132" s="247"/>
      <c r="O132" s="243" t="s">
        <v>253</v>
      </c>
      <c r="P132" s="243" t="s">
        <v>254</v>
      </c>
      <c r="Q132" s="243" t="s">
        <v>255</v>
      </c>
    </row>
    <row r="133" spans="1:17" x14ac:dyDescent="0.2">
      <c r="A133" s="250">
        <v>-12</v>
      </c>
      <c r="B133" s="356"/>
      <c r="C133" s="356"/>
      <c r="D133" s="356"/>
      <c r="E133" s="356"/>
      <c r="F133" s="356"/>
      <c r="G133" s="356"/>
      <c r="H133" s="356"/>
      <c r="I133" s="356"/>
      <c r="J133" s="356"/>
      <c r="K133" s="356"/>
      <c r="L133" s="356"/>
      <c r="M133" s="356"/>
      <c r="N133" s="356"/>
      <c r="O133" s="245">
        <f>SUM(B133:N133)</f>
        <v>0</v>
      </c>
      <c r="P133" s="357"/>
      <c r="Q133" s="245">
        <f>O133-P133</f>
        <v>0</v>
      </c>
    </row>
    <row r="134" spans="1:17" x14ac:dyDescent="0.2">
      <c r="A134" s="250">
        <v>-23</v>
      </c>
      <c r="B134" s="356"/>
      <c r="C134" s="356"/>
      <c r="D134" s="356"/>
      <c r="E134" s="356"/>
      <c r="F134" s="356"/>
      <c r="G134" s="356"/>
      <c r="H134" s="356"/>
      <c r="I134" s="356"/>
      <c r="J134" s="356"/>
      <c r="K134" s="356"/>
      <c r="L134" s="356"/>
      <c r="M134" s="356"/>
      <c r="N134" s="356"/>
      <c r="O134" s="245">
        <f>SUM(B134:N134)</f>
        <v>0</v>
      </c>
      <c r="P134" s="357"/>
      <c r="Q134" s="245">
        <f>O134-P134</f>
        <v>0</v>
      </c>
    </row>
    <row r="135" spans="1:17" x14ac:dyDescent="0.2">
      <c r="A135" s="250">
        <v>-40</v>
      </c>
      <c r="B135" s="356"/>
      <c r="C135" s="356"/>
      <c r="D135" s="35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  <c r="O135" s="245">
        <f>SUM(B135:N135)</f>
        <v>0</v>
      </c>
      <c r="P135" s="357"/>
      <c r="Q135" s="245">
        <f>O135-P135</f>
        <v>0</v>
      </c>
    </row>
    <row r="136" spans="1:17" x14ac:dyDescent="0.2">
      <c r="A136" s="250">
        <v>-56</v>
      </c>
      <c r="B136" s="356"/>
      <c r="C136" s="356"/>
      <c r="D136" s="356"/>
      <c r="E136" s="356"/>
      <c r="F136" s="356"/>
      <c r="G136" s="356"/>
      <c r="H136" s="356"/>
      <c r="I136" s="356"/>
      <c r="J136" s="356"/>
      <c r="K136" s="356"/>
      <c r="L136" s="356"/>
      <c r="M136" s="356"/>
      <c r="N136" s="356"/>
      <c r="O136" s="245">
        <f>SUM(B136:N136)</f>
        <v>0</v>
      </c>
      <c r="P136" s="357"/>
      <c r="Q136" s="245">
        <f>O136-P136</f>
        <v>0</v>
      </c>
    </row>
    <row r="137" spans="1:17" x14ac:dyDescent="0.2">
      <c r="A137" s="250">
        <v>-71</v>
      </c>
      <c r="B137" s="356"/>
      <c r="C137" s="356"/>
      <c r="D137" s="356"/>
      <c r="E137" s="356"/>
      <c r="F137" s="356"/>
      <c r="G137" s="356"/>
      <c r="H137" s="356"/>
      <c r="I137" s="356"/>
      <c r="J137" s="356"/>
      <c r="K137" s="356"/>
      <c r="L137" s="356"/>
      <c r="M137" s="356"/>
      <c r="N137" s="356"/>
      <c r="O137" s="245">
        <f>SUM(B137:N137)</f>
        <v>0</v>
      </c>
      <c r="P137" s="357"/>
      <c r="Q137" s="245">
        <f>O137-P137</f>
        <v>0</v>
      </c>
    </row>
    <row r="139" spans="1:17" ht="13.5" thickBot="1" x14ac:dyDescent="0.25">
      <c r="A139" s="149" t="s">
        <v>298</v>
      </c>
      <c r="B139" s="150"/>
      <c r="C139" s="150"/>
      <c r="D139" s="150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2"/>
      <c r="P139" s="152"/>
      <c r="Q139" s="152"/>
    </row>
    <row r="140" spans="1:17" x14ac:dyDescent="0.2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</row>
    <row r="141" spans="1:17" x14ac:dyDescent="0.2">
      <c r="A141" s="152"/>
      <c r="B141" s="152" t="s">
        <v>252</v>
      </c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</row>
    <row r="142" spans="1:17" x14ac:dyDescent="0.2">
      <c r="A142" s="245" t="s">
        <v>45</v>
      </c>
      <c r="B142" s="247"/>
      <c r="C142" s="247"/>
      <c r="D142" s="247"/>
      <c r="E142" s="247"/>
      <c r="F142" s="247"/>
      <c r="G142" s="247"/>
      <c r="H142" s="247"/>
      <c r="I142" s="247"/>
      <c r="J142" s="247"/>
      <c r="K142" s="247"/>
      <c r="L142" s="247"/>
      <c r="M142" s="247"/>
      <c r="N142" s="247"/>
      <c r="O142" s="243" t="s">
        <v>253</v>
      </c>
      <c r="P142" s="243" t="s">
        <v>254</v>
      </c>
      <c r="Q142" s="243" t="s">
        <v>255</v>
      </c>
    </row>
    <row r="143" spans="1:17" x14ac:dyDescent="0.2">
      <c r="A143" s="250">
        <v>-12</v>
      </c>
      <c r="B143" s="356"/>
      <c r="C143" s="356"/>
      <c r="D143" s="356"/>
      <c r="E143" s="356"/>
      <c r="F143" s="356"/>
      <c r="G143" s="356"/>
      <c r="H143" s="356"/>
      <c r="I143" s="356"/>
      <c r="J143" s="356"/>
      <c r="K143" s="356"/>
      <c r="L143" s="356"/>
      <c r="M143" s="356"/>
      <c r="N143" s="356"/>
      <c r="O143" s="245">
        <f>SUM(B143:N143)</f>
        <v>0</v>
      </c>
      <c r="P143" s="357"/>
      <c r="Q143" s="245">
        <f>O143-P143</f>
        <v>0</v>
      </c>
    </row>
    <row r="144" spans="1:17" x14ac:dyDescent="0.2">
      <c r="A144" s="250">
        <v>-23</v>
      </c>
      <c r="B144" s="356"/>
      <c r="C144" s="356"/>
      <c r="D144" s="356"/>
      <c r="E144" s="356"/>
      <c r="F144" s="356"/>
      <c r="G144" s="356"/>
      <c r="H144" s="356"/>
      <c r="I144" s="356"/>
      <c r="J144" s="356"/>
      <c r="K144" s="356"/>
      <c r="L144" s="356"/>
      <c r="M144" s="356"/>
      <c r="N144" s="356"/>
      <c r="O144" s="245">
        <f>SUM(B144:N144)</f>
        <v>0</v>
      </c>
      <c r="P144" s="357"/>
      <c r="Q144" s="245">
        <f>O144-P144</f>
        <v>0</v>
      </c>
    </row>
    <row r="145" spans="1:17" x14ac:dyDescent="0.2">
      <c r="A145" s="250">
        <v>-40</v>
      </c>
      <c r="B145" s="356"/>
      <c r="C145" s="356"/>
      <c r="D145" s="356"/>
      <c r="E145" s="356"/>
      <c r="F145" s="356"/>
      <c r="G145" s="356"/>
      <c r="H145" s="356"/>
      <c r="I145" s="356"/>
      <c r="J145" s="356"/>
      <c r="K145" s="356"/>
      <c r="L145" s="356"/>
      <c r="M145" s="356"/>
      <c r="N145" s="356"/>
      <c r="O145" s="245">
        <f>SUM(B145:N145)</f>
        <v>0</v>
      </c>
      <c r="P145" s="357"/>
      <c r="Q145" s="245">
        <f>O145-P145</f>
        <v>0</v>
      </c>
    </row>
    <row r="146" spans="1:17" x14ac:dyDescent="0.2">
      <c r="A146" s="250">
        <v>-56</v>
      </c>
      <c r="B146" s="356"/>
      <c r="C146" s="356"/>
      <c r="D146" s="356"/>
      <c r="E146" s="356"/>
      <c r="F146" s="356"/>
      <c r="G146" s="356"/>
      <c r="H146" s="356"/>
      <c r="I146" s="356"/>
      <c r="J146" s="356"/>
      <c r="K146" s="356"/>
      <c r="L146" s="356"/>
      <c r="M146" s="356"/>
      <c r="N146" s="356"/>
      <c r="O146" s="245">
        <f>SUM(B146:N146)</f>
        <v>0</v>
      </c>
      <c r="P146" s="357"/>
      <c r="Q146" s="245">
        <f>O146-P146</f>
        <v>0</v>
      </c>
    </row>
    <row r="147" spans="1:17" x14ac:dyDescent="0.2">
      <c r="A147" s="250">
        <v>-71</v>
      </c>
      <c r="B147" s="356"/>
      <c r="C147" s="356"/>
      <c r="D147" s="356"/>
      <c r="E147" s="356"/>
      <c r="F147" s="356"/>
      <c r="G147" s="356"/>
      <c r="H147" s="356"/>
      <c r="I147" s="356"/>
      <c r="J147" s="356"/>
      <c r="K147" s="356"/>
      <c r="L147" s="356"/>
      <c r="M147" s="356"/>
      <c r="N147" s="356"/>
      <c r="O147" s="245">
        <f>SUM(B147:N147)</f>
        <v>0</v>
      </c>
      <c r="P147" s="357"/>
      <c r="Q147" s="245">
        <f>O147-P147</f>
        <v>0</v>
      </c>
    </row>
  </sheetData>
  <sheetProtection algorithmName="SHA-512" hashValue="Qd3pU4Kbt+b/sxSo0iFMP9F882ZW6Bpc6Yq7fVYRgUdPae0jxO44423aOQIs3vRjiwc7EHTS6ttkyHHd6kKIfw==" saltValue="bk4DYOjHOqIMbSebt9/y4A==" spinCount="100000" sheet="1"/>
  <hyperlinks>
    <hyperlink ref="N3" location="Etusivu!A1" tooltip="Tästä pääset etusivulle" display="Etusivu" xr:uid="{00000000-0004-0000-0600-000000000000}"/>
    <hyperlink ref="N27" location="Etusivu!A1" tooltip="Tästä pääset etusivulle" display="Etusivu" xr:uid="{00000000-0004-0000-0600-000001000000}"/>
    <hyperlink ref="N52" location="Etusivu!A1" tooltip="Tästä pääset etusivulle" display="Etusivu" xr:uid="{00000000-0004-0000-0600-000002000000}"/>
    <hyperlink ref="N78" location="Etusivu!A1" tooltip="Tästä pääset etusivulle" display="Etusivu" xr:uid="{00000000-0004-0000-0600-000003000000}"/>
    <hyperlink ref="N102" location="Etusivu!A1" tooltip="Tästä pääset etusivulle" display="Etusivu" xr:uid="{00000000-0004-0000-0600-000004000000}"/>
    <hyperlink ref="N129" location="Etusivu!A1" tooltip="Tästä pääset etusivulle" display="Etusivu" xr:uid="{00000000-0004-0000-0600-000005000000}"/>
    <hyperlink ref="P3" location="Etusivu!A392" tooltip="Tästä pääset laittamaan olosuhde/haittalisät" display="Haittalisä" xr:uid="{00000000-0004-0000-0600-000006000000}"/>
    <hyperlink ref="P27" location="Etusivu!A392" tooltip="Tästä pääset laittamaan olosuhde/haittalisät" display="Haittalisä" xr:uid="{00000000-0004-0000-0600-000007000000}"/>
    <hyperlink ref="P52" location="Etusivu!A392" tooltip="Tästä pääset laittamaan olosuhde/haittalisät" display="Haittalisä" xr:uid="{00000000-0004-0000-0600-000008000000}"/>
    <hyperlink ref="P78" location="Etusivu!A392" tooltip="Tästä pääset laittamaan olosuhde/haittalisät" display="Haittalisä" xr:uid="{00000000-0004-0000-0600-000009000000}"/>
    <hyperlink ref="P102" location="Etusivu!A392" tooltip="Tästä pääset laittamaan olosuhde/haittalisät" display="Haittalisä" xr:uid="{00000000-0004-0000-0600-00000A000000}"/>
    <hyperlink ref="P129" location="Etusivu!A392" tooltip="Tästä pääset laittamaan olosuhde/haittalisät" display="Haittalisä" xr:uid="{00000000-0004-0000-0600-00000B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O133:O137 O143:O147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41"/>
  <sheetViews>
    <sheetView workbookViewId="0">
      <selection activeCell="E19" sqref="E19"/>
    </sheetView>
  </sheetViews>
  <sheetFormatPr defaultColWidth="9.140625" defaultRowHeight="12.75" x14ac:dyDescent="0.2"/>
  <cols>
    <col min="1" max="16384" width="9.140625" style="148"/>
  </cols>
  <sheetData>
    <row r="1" spans="1:9" ht="31.5" customHeight="1" x14ac:dyDescent="0.25">
      <c r="A1" s="257"/>
      <c r="B1" s="258" t="s">
        <v>77</v>
      </c>
      <c r="C1" s="259"/>
      <c r="D1" s="259"/>
      <c r="E1" s="259"/>
      <c r="F1" s="259"/>
      <c r="G1" s="259"/>
      <c r="H1" s="260"/>
      <c r="I1" s="261"/>
    </row>
    <row r="2" spans="1:9" x14ac:dyDescent="0.2">
      <c r="A2" s="121"/>
      <c r="B2" s="120"/>
      <c r="C2" s="120"/>
      <c r="D2" s="120"/>
      <c r="E2" s="120"/>
      <c r="F2" s="120"/>
      <c r="G2" s="120"/>
      <c r="H2" s="120"/>
      <c r="I2" s="122"/>
    </row>
    <row r="3" spans="1:9" ht="18" customHeight="1" x14ac:dyDescent="0.2">
      <c r="A3" s="262" t="s">
        <v>78</v>
      </c>
      <c r="B3" s="263"/>
      <c r="C3" s="263" t="s">
        <v>79</v>
      </c>
      <c r="D3" s="263"/>
      <c r="E3" s="263"/>
      <c r="F3" s="120"/>
      <c r="G3" s="120"/>
      <c r="H3" s="120"/>
      <c r="I3" s="264"/>
    </row>
    <row r="4" spans="1:9" ht="18" customHeight="1" x14ac:dyDescent="0.2">
      <c r="A4" s="262" t="s">
        <v>121</v>
      </c>
      <c r="B4" s="263"/>
      <c r="C4" s="263" t="s">
        <v>80</v>
      </c>
      <c r="D4" s="263"/>
      <c r="E4" s="263"/>
      <c r="F4" s="120"/>
      <c r="G4" s="120"/>
      <c r="H4" s="120"/>
      <c r="I4" s="122"/>
    </row>
    <row r="5" spans="1:9" ht="18" customHeight="1" x14ac:dyDescent="0.2">
      <c r="A5" s="262" t="s">
        <v>81</v>
      </c>
      <c r="B5" s="263"/>
      <c r="C5" s="263" t="s">
        <v>82</v>
      </c>
      <c r="D5" s="263"/>
      <c r="E5" s="263"/>
      <c r="F5" s="120"/>
      <c r="G5" s="120"/>
      <c r="H5" s="120"/>
      <c r="I5" s="122"/>
    </row>
    <row r="6" spans="1:9" ht="18" customHeight="1" x14ac:dyDescent="0.2">
      <c r="A6" s="262" t="s">
        <v>83</v>
      </c>
      <c r="B6" s="263"/>
      <c r="C6" s="263" t="s">
        <v>84</v>
      </c>
      <c r="D6" s="263"/>
      <c r="E6" s="263"/>
      <c r="F6" s="120"/>
      <c r="G6" s="120"/>
      <c r="H6" s="120"/>
      <c r="I6" s="122"/>
    </row>
    <row r="7" spans="1:9" ht="18" customHeight="1" x14ac:dyDescent="0.2">
      <c r="A7" s="262" t="s">
        <v>85</v>
      </c>
      <c r="B7" s="263"/>
      <c r="C7" s="263" t="s">
        <v>86</v>
      </c>
      <c r="D7" s="263"/>
      <c r="E7" s="263"/>
      <c r="F7" s="120"/>
      <c r="G7" s="120"/>
      <c r="H7" s="120"/>
      <c r="I7" s="122"/>
    </row>
    <row r="8" spans="1:9" ht="18" customHeight="1" x14ac:dyDescent="0.2">
      <c r="A8" s="262"/>
      <c r="B8" s="263"/>
      <c r="C8" s="263"/>
      <c r="D8" s="263"/>
      <c r="E8" s="263"/>
      <c r="F8" s="120"/>
      <c r="G8" s="120"/>
      <c r="H8" s="120"/>
      <c r="I8" s="122"/>
    </row>
    <row r="9" spans="1:9" ht="18" customHeight="1" x14ac:dyDescent="0.2">
      <c r="A9" s="262" t="s">
        <v>120</v>
      </c>
      <c r="B9" s="263"/>
      <c r="C9" s="263" t="s">
        <v>87</v>
      </c>
      <c r="D9" s="263"/>
      <c r="E9" s="263"/>
      <c r="F9" s="120"/>
      <c r="G9" s="120"/>
      <c r="H9" s="120"/>
      <c r="I9" s="122"/>
    </row>
    <row r="10" spans="1:9" ht="18" customHeight="1" x14ac:dyDescent="0.2">
      <c r="A10" s="262"/>
      <c r="B10" s="263"/>
      <c r="C10" s="263"/>
      <c r="D10" s="263"/>
      <c r="E10" s="263"/>
      <c r="F10" s="120"/>
      <c r="G10" s="120"/>
      <c r="H10" s="120"/>
      <c r="I10" s="122"/>
    </row>
    <row r="11" spans="1:9" ht="18" customHeight="1" x14ac:dyDescent="0.2">
      <c r="A11" s="262" t="s">
        <v>88</v>
      </c>
      <c r="B11" s="263"/>
      <c r="C11" s="263" t="s">
        <v>89</v>
      </c>
      <c r="D11" s="263"/>
      <c r="E11" s="263"/>
      <c r="F11" s="120"/>
      <c r="G11" s="120"/>
      <c r="H11" s="120"/>
      <c r="I11" s="122"/>
    </row>
    <row r="12" spans="1:9" ht="18" customHeight="1" x14ac:dyDescent="0.2">
      <c r="A12" s="262" t="s">
        <v>90</v>
      </c>
      <c r="B12" s="263"/>
      <c r="C12" s="263" t="s">
        <v>91</v>
      </c>
      <c r="D12" s="263"/>
      <c r="E12" s="263"/>
      <c r="F12" s="120"/>
      <c r="G12" s="120"/>
      <c r="H12" s="120"/>
      <c r="I12" s="122"/>
    </row>
    <row r="13" spans="1:9" ht="18" customHeight="1" x14ac:dyDescent="0.2">
      <c r="A13" s="262"/>
      <c r="B13" s="263"/>
      <c r="C13" s="263"/>
      <c r="D13" s="263"/>
      <c r="E13" s="263"/>
      <c r="F13" s="120"/>
      <c r="G13" s="120"/>
      <c r="H13" s="120"/>
      <c r="I13" s="122"/>
    </row>
    <row r="14" spans="1:9" ht="18" customHeight="1" x14ac:dyDescent="0.2">
      <c r="A14" s="262" t="s">
        <v>92</v>
      </c>
      <c r="B14" s="263"/>
      <c r="C14" s="263" t="s">
        <v>93</v>
      </c>
      <c r="D14" s="263"/>
      <c r="E14" s="263"/>
      <c r="F14" s="120"/>
      <c r="G14" s="120"/>
      <c r="H14" s="120"/>
      <c r="I14" s="122"/>
    </row>
    <row r="15" spans="1:9" ht="18" customHeight="1" x14ac:dyDescent="0.2">
      <c r="A15" s="262"/>
      <c r="B15" s="263"/>
      <c r="C15" s="263"/>
      <c r="D15" s="263"/>
      <c r="E15" s="263"/>
      <c r="F15" s="120"/>
      <c r="G15" s="120"/>
      <c r="H15" s="120"/>
      <c r="I15" s="122"/>
    </row>
    <row r="16" spans="1:9" ht="18" customHeight="1" x14ac:dyDescent="0.2">
      <c r="A16" s="262" t="s">
        <v>94</v>
      </c>
      <c r="B16" s="263"/>
      <c r="C16" s="263" t="s">
        <v>95</v>
      </c>
      <c r="D16" s="263"/>
      <c r="E16" s="263"/>
      <c r="F16" s="120"/>
      <c r="G16" s="120"/>
      <c r="H16" s="120"/>
      <c r="I16" s="122"/>
    </row>
    <row r="17" spans="1:9" ht="18" customHeight="1" x14ac:dyDescent="0.2">
      <c r="A17" s="262"/>
      <c r="B17" s="263"/>
      <c r="C17" s="263"/>
      <c r="D17" s="263"/>
      <c r="E17" s="263"/>
      <c r="F17" s="120"/>
      <c r="G17" s="120"/>
      <c r="H17" s="120"/>
      <c r="I17" s="122"/>
    </row>
    <row r="18" spans="1:9" ht="18" customHeight="1" x14ac:dyDescent="0.2">
      <c r="A18" s="262" t="s">
        <v>96</v>
      </c>
      <c r="B18" s="263"/>
      <c r="C18" s="263" t="s">
        <v>97</v>
      </c>
      <c r="D18" s="263"/>
      <c r="E18" s="263"/>
      <c r="F18" s="120"/>
      <c r="G18" s="120"/>
      <c r="H18" s="120"/>
      <c r="I18" s="122"/>
    </row>
    <row r="19" spans="1:9" ht="18" customHeight="1" x14ac:dyDescent="0.2">
      <c r="A19" s="262"/>
      <c r="B19" s="263"/>
      <c r="C19" s="263"/>
      <c r="D19" s="263"/>
      <c r="E19" s="263"/>
      <c r="F19" s="120"/>
      <c r="G19" s="120"/>
      <c r="H19" s="120"/>
      <c r="I19" s="122"/>
    </row>
    <row r="20" spans="1:9" ht="18" customHeight="1" x14ac:dyDescent="0.2">
      <c r="A20" s="262" t="s">
        <v>98</v>
      </c>
      <c r="B20" s="263"/>
      <c r="C20" s="263" t="s">
        <v>99</v>
      </c>
      <c r="D20" s="263"/>
      <c r="E20" s="263"/>
      <c r="F20" s="120"/>
      <c r="G20" s="120"/>
      <c r="H20" s="120"/>
      <c r="I20" s="122"/>
    </row>
    <row r="21" spans="1:9" ht="18" customHeight="1" x14ac:dyDescent="0.2">
      <c r="A21" s="262"/>
      <c r="B21" s="263"/>
      <c r="C21" s="263"/>
      <c r="D21" s="263"/>
      <c r="E21" s="263"/>
      <c r="F21" s="120"/>
      <c r="G21" s="120"/>
      <c r="H21" s="120"/>
      <c r="I21" s="122"/>
    </row>
    <row r="22" spans="1:9" ht="18" customHeight="1" x14ac:dyDescent="0.2">
      <c r="A22" s="262" t="s">
        <v>100</v>
      </c>
      <c r="B22" s="263"/>
      <c r="C22" s="263" t="s">
        <v>101</v>
      </c>
      <c r="D22" s="263"/>
      <c r="E22" s="263"/>
      <c r="F22" s="120"/>
      <c r="G22" s="120"/>
      <c r="H22" s="120"/>
      <c r="I22" s="122"/>
    </row>
    <row r="23" spans="1:9" ht="18" customHeight="1" x14ac:dyDescent="0.2">
      <c r="A23" s="262" t="s">
        <v>102</v>
      </c>
      <c r="B23" s="263"/>
      <c r="C23" s="263" t="s">
        <v>103</v>
      </c>
      <c r="D23" s="263"/>
      <c r="E23" s="263"/>
      <c r="F23" s="120"/>
      <c r="G23" s="120"/>
      <c r="H23" s="120"/>
      <c r="I23" s="122"/>
    </row>
    <row r="24" spans="1:9" ht="18" customHeight="1" x14ac:dyDescent="0.2">
      <c r="A24" s="262" t="s">
        <v>106</v>
      </c>
      <c r="B24" s="263"/>
      <c r="C24" s="263" t="s">
        <v>107</v>
      </c>
      <c r="D24" s="263"/>
      <c r="E24" s="263"/>
      <c r="F24" s="120"/>
      <c r="G24" s="120"/>
      <c r="H24" s="120"/>
      <c r="I24" s="122"/>
    </row>
    <row r="25" spans="1:9" ht="18" customHeight="1" x14ac:dyDescent="0.2">
      <c r="A25" s="262"/>
      <c r="B25" s="263"/>
      <c r="C25" s="263"/>
      <c r="D25" s="263"/>
      <c r="E25" s="263"/>
      <c r="F25" s="120"/>
      <c r="G25" s="120"/>
      <c r="H25" s="120"/>
      <c r="I25" s="122"/>
    </row>
    <row r="26" spans="1:9" ht="18" customHeight="1" x14ac:dyDescent="0.2">
      <c r="A26" s="262" t="s">
        <v>104</v>
      </c>
      <c r="B26" s="263"/>
      <c r="C26" s="263" t="s">
        <v>105</v>
      </c>
      <c r="D26" s="263"/>
      <c r="E26" s="263"/>
      <c r="F26" s="120"/>
      <c r="G26" s="120"/>
      <c r="H26" s="120"/>
      <c r="I26" s="122"/>
    </row>
    <row r="27" spans="1:9" ht="18" customHeight="1" x14ac:dyDescent="0.2">
      <c r="A27" s="262" t="s">
        <v>114</v>
      </c>
      <c r="B27" s="263"/>
      <c r="C27" s="263" t="s">
        <v>115</v>
      </c>
      <c r="D27" s="263"/>
      <c r="E27" s="263"/>
      <c r="F27" s="120"/>
      <c r="G27" s="120"/>
      <c r="H27" s="120"/>
      <c r="I27" s="122"/>
    </row>
    <row r="28" spans="1:9" ht="18" customHeight="1" x14ac:dyDescent="0.2">
      <c r="A28" s="262"/>
      <c r="B28" s="263"/>
      <c r="C28" s="263"/>
      <c r="D28" s="263"/>
      <c r="E28" s="263"/>
      <c r="F28" s="120"/>
      <c r="G28" s="120"/>
      <c r="H28" s="120"/>
      <c r="I28" s="122"/>
    </row>
    <row r="29" spans="1:9" ht="18" customHeight="1" x14ac:dyDescent="0.2">
      <c r="A29" s="262" t="s">
        <v>108</v>
      </c>
      <c r="B29" s="263"/>
      <c r="C29" s="263" t="s">
        <v>109</v>
      </c>
      <c r="D29" s="263"/>
      <c r="E29" s="263"/>
      <c r="F29" s="120"/>
      <c r="G29" s="120"/>
      <c r="H29" s="120"/>
      <c r="I29" s="122"/>
    </row>
    <row r="30" spans="1:9" ht="18" customHeight="1" x14ac:dyDescent="0.2">
      <c r="A30" s="262"/>
      <c r="B30" s="263"/>
      <c r="C30" s="263"/>
      <c r="D30" s="263"/>
      <c r="E30" s="263"/>
      <c r="F30" s="120"/>
      <c r="G30" s="120"/>
      <c r="H30" s="120"/>
      <c r="I30" s="122"/>
    </row>
    <row r="31" spans="1:9" ht="18" customHeight="1" x14ac:dyDescent="0.2">
      <c r="A31" s="262" t="s">
        <v>110</v>
      </c>
      <c r="B31" s="263"/>
      <c r="C31" s="263" t="s">
        <v>111</v>
      </c>
      <c r="D31" s="263"/>
      <c r="E31" s="263"/>
      <c r="F31" s="120"/>
      <c r="G31" s="120"/>
      <c r="H31" s="120"/>
      <c r="I31" s="122"/>
    </row>
    <row r="32" spans="1:9" ht="18" customHeight="1" x14ac:dyDescent="0.2">
      <c r="A32" s="262"/>
      <c r="B32" s="263"/>
      <c r="C32" s="263"/>
      <c r="D32" s="263"/>
      <c r="E32" s="263"/>
      <c r="F32" s="120"/>
      <c r="G32" s="120"/>
      <c r="H32" s="120"/>
      <c r="I32" s="122"/>
    </row>
    <row r="33" spans="1:9" ht="18" customHeight="1" x14ac:dyDescent="0.2">
      <c r="A33" s="262" t="s">
        <v>112</v>
      </c>
      <c r="B33" s="263"/>
      <c r="C33" s="263" t="s">
        <v>113</v>
      </c>
      <c r="D33" s="263"/>
      <c r="E33" s="263"/>
      <c r="F33" s="120"/>
      <c r="G33" s="120"/>
      <c r="H33" s="120"/>
      <c r="I33" s="122"/>
    </row>
    <row r="34" spans="1:9" ht="18" customHeight="1" x14ac:dyDescent="0.2">
      <c r="A34" s="262"/>
      <c r="B34" s="263"/>
      <c r="C34" s="263"/>
      <c r="D34" s="263"/>
      <c r="E34" s="263"/>
      <c r="F34" s="120"/>
      <c r="G34" s="120"/>
      <c r="H34" s="120"/>
      <c r="I34" s="122"/>
    </row>
    <row r="35" spans="1:9" ht="18" customHeight="1" x14ac:dyDescent="0.2">
      <c r="A35" s="262" t="s">
        <v>116</v>
      </c>
      <c r="B35" s="263"/>
      <c r="C35" s="263" t="s">
        <v>117</v>
      </c>
      <c r="D35" s="263"/>
      <c r="E35" s="263"/>
      <c r="F35" s="120"/>
      <c r="G35" s="120"/>
      <c r="H35" s="120"/>
      <c r="I35" s="122"/>
    </row>
    <row r="36" spans="1:9" ht="18" customHeight="1" x14ac:dyDescent="0.2">
      <c r="A36" s="262"/>
      <c r="B36" s="263"/>
      <c r="C36" s="263"/>
      <c r="D36" s="263"/>
      <c r="E36" s="263"/>
      <c r="F36" s="120"/>
      <c r="G36" s="120"/>
      <c r="H36" s="120"/>
      <c r="I36" s="122"/>
    </row>
    <row r="37" spans="1:9" ht="18" customHeight="1" x14ac:dyDescent="0.2">
      <c r="A37" s="262" t="s">
        <v>118</v>
      </c>
      <c r="B37" s="263"/>
      <c r="C37" s="263" t="s">
        <v>119</v>
      </c>
      <c r="D37" s="263"/>
      <c r="E37" s="263"/>
      <c r="F37" s="120"/>
      <c r="G37" s="120"/>
      <c r="H37" s="120"/>
      <c r="I37" s="122"/>
    </row>
    <row r="38" spans="1:9" ht="18" customHeight="1" x14ac:dyDescent="0.2">
      <c r="A38" s="121"/>
      <c r="B38" s="120"/>
      <c r="C38" s="120"/>
      <c r="D38" s="120"/>
      <c r="E38" s="120"/>
      <c r="F38" s="120"/>
      <c r="G38" s="120"/>
      <c r="H38" s="120"/>
      <c r="I38" s="122"/>
    </row>
    <row r="39" spans="1:9" ht="18" customHeight="1" x14ac:dyDescent="0.2">
      <c r="A39" s="121"/>
      <c r="B39" s="120"/>
      <c r="C39" s="120"/>
      <c r="D39" s="120"/>
      <c r="E39" s="120"/>
      <c r="F39" s="120"/>
      <c r="G39" s="120"/>
      <c r="H39" s="120"/>
      <c r="I39" s="122"/>
    </row>
    <row r="40" spans="1:9" ht="18" customHeight="1" x14ac:dyDescent="0.2">
      <c r="A40" s="121"/>
      <c r="B40" s="120"/>
      <c r="C40" s="120"/>
      <c r="D40" s="120"/>
      <c r="E40" s="120"/>
      <c r="F40" s="120"/>
      <c r="G40" s="120"/>
      <c r="H40" s="120"/>
      <c r="I40" s="122"/>
    </row>
    <row r="41" spans="1:9" ht="13.5" thickBot="1" x14ac:dyDescent="0.25">
      <c r="A41" s="265"/>
      <c r="B41" s="123"/>
      <c r="C41" s="123"/>
      <c r="D41" s="123"/>
      <c r="E41" s="123"/>
      <c r="F41" s="123"/>
      <c r="G41" s="123"/>
      <c r="H41" s="123"/>
      <c r="I41" s="266"/>
    </row>
  </sheetData>
  <sheetProtection password="C75E" sheet="1"/>
  <phoneticPr fontId="0" type="noConversion"/>
  <pageMargins left="0.75" right="0.75" top="0.72" bottom="0.73" header="0.4921259845" footer="0.4921259845"/>
  <pageSetup paperSize="9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C749"/>
  <sheetViews>
    <sheetView workbookViewId="0">
      <selection activeCell="A2" sqref="A2"/>
    </sheetView>
  </sheetViews>
  <sheetFormatPr defaultRowHeight="12.75" x14ac:dyDescent="0.2"/>
  <cols>
    <col min="1" max="1" width="20.28515625" customWidth="1"/>
    <col min="2" max="7" width="11.42578125" customWidth="1"/>
    <col min="8" max="8" width="9.7109375" customWidth="1"/>
    <col min="9" max="9" width="11.42578125" customWidth="1"/>
  </cols>
  <sheetData>
    <row r="1" spans="1:55" s="552" customFormat="1" ht="11.25" customHeight="1" x14ac:dyDescent="0.2">
      <c r="A1" s="368"/>
      <c r="B1" s="589"/>
      <c r="C1" s="589"/>
      <c r="D1" s="601" t="s">
        <v>305</v>
      </c>
      <c r="E1" s="589"/>
      <c r="F1" s="589"/>
      <c r="G1" s="589"/>
      <c r="H1" s="589"/>
      <c r="I1" s="589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</row>
    <row r="2" spans="1:55" s="552" customFormat="1" ht="11.25" customHeight="1" x14ac:dyDescent="0.2">
      <c r="A2" s="368" t="s">
        <v>234</v>
      </c>
      <c r="B2" s="589"/>
      <c r="C2" s="589"/>
      <c r="D2" s="589"/>
      <c r="E2" s="589"/>
      <c r="F2" s="589"/>
      <c r="G2" s="589"/>
      <c r="H2" s="589"/>
      <c r="I2" s="589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</row>
    <row r="3" spans="1:55" s="552" customFormat="1" ht="11.25" customHeight="1" x14ac:dyDescent="0.2">
      <c r="A3" s="589"/>
      <c r="B3" s="589"/>
      <c r="C3" s="589"/>
      <c r="D3" s="589" t="s">
        <v>472</v>
      </c>
      <c r="E3" s="589"/>
      <c r="F3" s="589"/>
      <c r="G3" s="589"/>
      <c r="H3" s="589"/>
      <c r="I3" s="589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</row>
    <row r="4" spans="1:55" s="552" customFormat="1" x14ac:dyDescent="0.2">
      <c r="A4" s="589"/>
      <c r="B4" s="589"/>
      <c r="C4" s="589" t="s">
        <v>306</v>
      </c>
      <c r="D4" s="602"/>
      <c r="E4" s="589"/>
      <c r="F4" s="589"/>
      <c r="G4" s="589"/>
      <c r="H4" s="589"/>
      <c r="I4" s="589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</row>
    <row r="5" spans="1:55" s="552" customFormat="1" x14ac:dyDescent="0.2">
      <c r="A5" s="589"/>
      <c r="B5" s="589"/>
      <c r="C5" s="589" t="s">
        <v>307</v>
      </c>
      <c r="D5" s="603"/>
      <c r="E5" s="589"/>
      <c r="F5" s="589"/>
      <c r="G5" s="589"/>
      <c r="H5" s="589"/>
      <c r="I5" s="589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</row>
    <row r="6" spans="1:55" s="552" customFormat="1" x14ac:dyDescent="0.2">
      <c r="A6" s="589"/>
      <c r="B6" s="589"/>
      <c r="C6" s="589" t="s">
        <v>308</v>
      </c>
      <c r="D6" s="604"/>
      <c r="E6" s="589"/>
      <c r="F6" s="589"/>
      <c r="G6" s="589"/>
      <c r="H6" s="589"/>
      <c r="I6" s="589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</row>
    <row r="7" spans="1:55" s="552" customFormat="1" ht="14.25" customHeight="1" thickBot="1" x14ac:dyDescent="0.25">
      <c r="A7" s="589"/>
      <c r="B7" s="589"/>
      <c r="C7" s="589"/>
      <c r="D7" s="589"/>
      <c r="E7" s="589"/>
      <c r="F7" s="589"/>
      <c r="G7" s="589"/>
      <c r="H7" s="589"/>
      <c r="I7" s="589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  <c r="AZ7" s="163"/>
      <c r="BA7" s="163"/>
      <c r="BB7" s="163"/>
      <c r="BC7" s="163"/>
    </row>
    <row r="8" spans="1:55" s="618" customFormat="1" ht="12" customHeight="1" thickBot="1" x14ac:dyDescent="0.25">
      <c r="A8" s="616"/>
      <c r="B8" s="844" t="s">
        <v>309</v>
      </c>
      <c r="C8" s="845"/>
      <c r="D8" s="846" t="s">
        <v>310</v>
      </c>
      <c r="E8" s="847"/>
      <c r="F8" s="848" t="s">
        <v>311</v>
      </c>
      <c r="G8" s="849"/>
      <c r="H8" s="616"/>
      <c r="I8" s="616"/>
      <c r="J8" s="617"/>
      <c r="K8" s="617"/>
      <c r="L8" s="617"/>
      <c r="M8" s="617"/>
      <c r="N8" s="617"/>
      <c r="O8" s="617"/>
      <c r="P8" s="617"/>
      <c r="Q8" s="617"/>
      <c r="R8" s="617"/>
      <c r="S8" s="617"/>
      <c r="T8" s="617"/>
      <c r="U8" s="617"/>
      <c r="V8" s="617"/>
      <c r="W8" s="617"/>
      <c r="X8" s="617"/>
      <c r="Y8" s="617"/>
      <c r="Z8" s="617"/>
      <c r="AA8" s="617"/>
      <c r="AB8" s="617"/>
      <c r="AC8" s="617"/>
      <c r="AD8" s="617"/>
      <c r="AE8" s="617"/>
      <c r="AF8" s="617"/>
      <c r="AG8" s="617"/>
      <c r="AH8" s="617"/>
      <c r="AI8" s="617"/>
      <c r="AJ8" s="617"/>
      <c r="AK8" s="617"/>
      <c r="AL8" s="617"/>
      <c r="AM8" s="617"/>
      <c r="AN8" s="617"/>
      <c r="AO8" s="617"/>
      <c r="AP8" s="617"/>
      <c r="AQ8" s="617"/>
      <c r="AR8" s="617"/>
      <c r="AS8" s="617"/>
      <c r="AT8" s="617"/>
      <c r="AU8" s="617"/>
      <c r="AV8" s="617"/>
      <c r="AW8" s="617"/>
      <c r="AX8" s="617"/>
      <c r="AY8" s="617"/>
      <c r="AZ8" s="617"/>
      <c r="BA8" s="617"/>
      <c r="BB8" s="617"/>
      <c r="BC8" s="617"/>
    </row>
    <row r="9" spans="1:55" s="611" customFormat="1" ht="25.5" customHeight="1" thickBot="1" x14ac:dyDescent="0.25">
      <c r="A9" s="610" t="s">
        <v>312</v>
      </c>
      <c r="B9" s="608" t="s">
        <v>473</v>
      </c>
      <c r="C9" s="609" t="s">
        <v>313</v>
      </c>
      <c r="D9" s="608" t="s">
        <v>474</v>
      </c>
      <c r="E9" s="609" t="s">
        <v>313</v>
      </c>
      <c r="F9" s="608" t="s">
        <v>474</v>
      </c>
      <c r="G9" s="607" t="s">
        <v>313</v>
      </c>
      <c r="H9" s="605" t="s">
        <v>314</v>
      </c>
      <c r="I9" s="606" t="s">
        <v>315</v>
      </c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</row>
    <row r="10" spans="1:55" s="552" customFormat="1" x14ac:dyDescent="0.2">
      <c r="A10" s="545"/>
      <c r="B10" s="546"/>
      <c r="C10" s="547"/>
      <c r="D10" s="548"/>
      <c r="E10" s="549"/>
      <c r="F10" s="546"/>
      <c r="G10" s="547"/>
      <c r="H10" s="550">
        <f>B10+D10+F10</f>
        <v>0</v>
      </c>
      <c r="I10" s="551">
        <f>B10*C10+D10*E10+F10*G10</f>
        <v>0</v>
      </c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</row>
    <row r="11" spans="1:55" s="552" customFormat="1" x14ac:dyDescent="0.2">
      <c r="A11" s="553"/>
      <c r="B11" s="554"/>
      <c r="C11" s="555"/>
      <c r="D11" s="556"/>
      <c r="E11" s="557"/>
      <c r="F11" s="554"/>
      <c r="G11" s="555"/>
      <c r="H11" s="558">
        <f t="shared" ref="H11:H29" si="0">B11+D11+F11</f>
        <v>0</v>
      </c>
      <c r="I11" s="559">
        <f t="shared" ref="I11:I28" si="1">B11*C11+D11*E11+F11*G11</f>
        <v>0</v>
      </c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</row>
    <row r="12" spans="1:55" s="552" customFormat="1" x14ac:dyDescent="0.2">
      <c r="A12" s="553"/>
      <c r="B12" s="554"/>
      <c r="C12" s="555"/>
      <c r="D12" s="556"/>
      <c r="E12" s="557"/>
      <c r="F12" s="554"/>
      <c r="G12" s="555"/>
      <c r="H12" s="558">
        <f t="shared" si="0"/>
        <v>0</v>
      </c>
      <c r="I12" s="559">
        <f t="shared" si="1"/>
        <v>0</v>
      </c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</row>
    <row r="13" spans="1:55" s="552" customFormat="1" x14ac:dyDescent="0.2">
      <c r="A13" s="553"/>
      <c r="B13" s="554"/>
      <c r="C13" s="555"/>
      <c r="D13" s="556"/>
      <c r="E13" s="557"/>
      <c r="F13" s="554"/>
      <c r="G13" s="555"/>
      <c r="H13" s="558">
        <f t="shared" si="0"/>
        <v>0</v>
      </c>
      <c r="I13" s="559">
        <f t="shared" si="1"/>
        <v>0</v>
      </c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</row>
    <row r="14" spans="1:55" s="552" customFormat="1" x14ac:dyDescent="0.2">
      <c r="A14" s="553"/>
      <c r="B14" s="554"/>
      <c r="C14" s="555"/>
      <c r="D14" s="556"/>
      <c r="E14" s="557"/>
      <c r="F14" s="554"/>
      <c r="G14" s="555"/>
      <c r="H14" s="558">
        <f t="shared" si="0"/>
        <v>0</v>
      </c>
      <c r="I14" s="559">
        <f t="shared" si="1"/>
        <v>0</v>
      </c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</row>
    <row r="15" spans="1:55" s="552" customFormat="1" x14ac:dyDescent="0.2">
      <c r="A15" s="553"/>
      <c r="B15" s="554"/>
      <c r="C15" s="555"/>
      <c r="D15" s="556"/>
      <c r="E15" s="557"/>
      <c r="F15" s="554"/>
      <c r="G15" s="555"/>
      <c r="H15" s="558">
        <f t="shared" si="0"/>
        <v>0</v>
      </c>
      <c r="I15" s="559">
        <f t="shared" si="1"/>
        <v>0</v>
      </c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</row>
    <row r="16" spans="1:55" s="552" customFormat="1" x14ac:dyDescent="0.2">
      <c r="A16" s="553"/>
      <c r="B16" s="554"/>
      <c r="C16" s="555"/>
      <c r="D16" s="556"/>
      <c r="E16" s="557"/>
      <c r="F16" s="554"/>
      <c r="G16" s="555"/>
      <c r="H16" s="558">
        <f t="shared" si="0"/>
        <v>0</v>
      </c>
      <c r="I16" s="559">
        <f t="shared" si="1"/>
        <v>0</v>
      </c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</row>
    <row r="17" spans="1:55" s="552" customFormat="1" x14ac:dyDescent="0.2">
      <c r="A17" s="553"/>
      <c r="B17" s="554"/>
      <c r="C17" s="555"/>
      <c r="D17" s="556"/>
      <c r="E17" s="557"/>
      <c r="F17" s="554"/>
      <c r="G17" s="555"/>
      <c r="H17" s="558">
        <f t="shared" si="0"/>
        <v>0</v>
      </c>
      <c r="I17" s="559">
        <f t="shared" si="1"/>
        <v>0</v>
      </c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  <c r="BA17" s="163"/>
      <c r="BB17" s="163"/>
      <c r="BC17" s="163"/>
    </row>
    <row r="18" spans="1:55" s="552" customFormat="1" x14ac:dyDescent="0.2">
      <c r="A18" s="553"/>
      <c r="B18" s="554"/>
      <c r="C18" s="555"/>
      <c r="D18" s="556"/>
      <c r="E18" s="557"/>
      <c r="F18" s="554"/>
      <c r="G18" s="555"/>
      <c r="H18" s="558">
        <f t="shared" si="0"/>
        <v>0</v>
      </c>
      <c r="I18" s="559">
        <f t="shared" si="1"/>
        <v>0</v>
      </c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/>
      <c r="AZ18" s="163"/>
      <c r="BA18" s="163"/>
      <c r="BB18" s="163"/>
      <c r="BC18" s="163"/>
    </row>
    <row r="19" spans="1:55" s="552" customFormat="1" x14ac:dyDescent="0.2">
      <c r="A19" s="553"/>
      <c r="B19" s="554"/>
      <c r="C19" s="555"/>
      <c r="D19" s="556"/>
      <c r="E19" s="557"/>
      <c r="F19" s="554"/>
      <c r="G19" s="555"/>
      <c r="H19" s="558">
        <f t="shared" si="0"/>
        <v>0</v>
      </c>
      <c r="I19" s="559">
        <f t="shared" si="1"/>
        <v>0</v>
      </c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  <c r="BA19" s="163"/>
      <c r="BB19" s="163"/>
      <c r="BC19" s="163"/>
    </row>
    <row r="20" spans="1:55" s="552" customFormat="1" x14ac:dyDescent="0.2">
      <c r="A20" s="553"/>
      <c r="B20" s="554"/>
      <c r="C20" s="555"/>
      <c r="D20" s="556"/>
      <c r="E20" s="557"/>
      <c r="F20" s="554"/>
      <c r="G20" s="555"/>
      <c r="H20" s="558">
        <f t="shared" si="0"/>
        <v>0</v>
      </c>
      <c r="I20" s="559">
        <f t="shared" si="1"/>
        <v>0</v>
      </c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  <c r="BA20" s="163"/>
      <c r="BB20" s="163"/>
      <c r="BC20" s="163"/>
    </row>
    <row r="21" spans="1:55" s="552" customFormat="1" x14ac:dyDescent="0.2">
      <c r="A21" s="553"/>
      <c r="B21" s="554"/>
      <c r="C21" s="555"/>
      <c r="D21" s="556"/>
      <c r="E21" s="557"/>
      <c r="F21" s="554"/>
      <c r="G21" s="555"/>
      <c r="H21" s="558">
        <f t="shared" si="0"/>
        <v>0</v>
      </c>
      <c r="I21" s="559">
        <f t="shared" si="1"/>
        <v>0</v>
      </c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</row>
    <row r="22" spans="1:55" s="552" customFormat="1" x14ac:dyDescent="0.2">
      <c r="A22" s="553"/>
      <c r="B22" s="554"/>
      <c r="C22" s="555"/>
      <c r="D22" s="556"/>
      <c r="E22" s="557"/>
      <c r="F22" s="554"/>
      <c r="G22" s="555"/>
      <c r="H22" s="558">
        <f t="shared" si="0"/>
        <v>0</v>
      </c>
      <c r="I22" s="559">
        <f t="shared" si="1"/>
        <v>0</v>
      </c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  <c r="BA22" s="163"/>
      <c r="BB22" s="163"/>
      <c r="BC22" s="163"/>
    </row>
    <row r="23" spans="1:55" s="552" customFormat="1" x14ac:dyDescent="0.2">
      <c r="A23" s="553"/>
      <c r="B23" s="554"/>
      <c r="C23" s="555"/>
      <c r="D23" s="556"/>
      <c r="E23" s="557"/>
      <c r="F23" s="554"/>
      <c r="G23" s="555"/>
      <c r="H23" s="558">
        <f t="shared" si="0"/>
        <v>0</v>
      </c>
      <c r="I23" s="559">
        <f t="shared" si="1"/>
        <v>0</v>
      </c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  <c r="BA23" s="163"/>
      <c r="BB23" s="163"/>
      <c r="BC23" s="163"/>
    </row>
    <row r="24" spans="1:55" s="552" customFormat="1" ht="13.5" thickBot="1" x14ac:dyDescent="0.25">
      <c r="A24" s="560"/>
      <c r="B24" s="561"/>
      <c r="C24" s="562"/>
      <c r="D24" s="563"/>
      <c r="E24" s="564"/>
      <c r="F24" s="561"/>
      <c r="G24" s="562"/>
      <c r="H24" s="565">
        <f t="shared" si="0"/>
        <v>0</v>
      </c>
      <c r="I24" s="566">
        <f t="shared" si="1"/>
        <v>0</v>
      </c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</row>
    <row r="25" spans="1:55" s="615" customFormat="1" ht="12" customHeight="1" thickBot="1" x14ac:dyDescent="0.25">
      <c r="A25" s="853" t="s">
        <v>464</v>
      </c>
      <c r="B25" s="854"/>
      <c r="C25" s="854"/>
      <c r="D25" s="854"/>
      <c r="E25" s="854"/>
      <c r="F25" s="854"/>
      <c r="G25" s="855"/>
      <c r="H25" s="612"/>
      <c r="I25" s="613"/>
      <c r="J25" s="614"/>
      <c r="K25" s="614"/>
      <c r="L25" s="614"/>
      <c r="M25" s="614"/>
      <c r="N25" s="614"/>
      <c r="O25" s="614"/>
      <c r="P25" s="614"/>
      <c r="Q25" s="614"/>
      <c r="R25" s="614"/>
      <c r="S25" s="614"/>
      <c r="T25" s="614"/>
      <c r="U25" s="614"/>
      <c r="V25" s="614"/>
      <c r="W25" s="614"/>
      <c r="X25" s="614"/>
      <c r="Y25" s="614"/>
      <c r="Z25" s="614"/>
      <c r="AA25" s="614"/>
      <c r="AB25" s="614"/>
      <c r="AC25" s="614"/>
      <c r="AD25" s="614"/>
      <c r="AE25" s="614"/>
      <c r="AF25" s="614"/>
      <c r="AG25" s="614"/>
      <c r="AH25" s="614"/>
      <c r="AI25" s="614"/>
      <c r="AJ25" s="614"/>
      <c r="AK25" s="614"/>
      <c r="AL25" s="614"/>
      <c r="AM25" s="614"/>
      <c r="AN25" s="614"/>
      <c r="AO25" s="614"/>
      <c r="AP25" s="614"/>
      <c r="AQ25" s="614"/>
      <c r="AR25" s="614"/>
      <c r="AS25" s="614"/>
      <c r="AT25" s="614"/>
      <c r="AU25" s="614"/>
      <c r="AV25" s="614"/>
      <c r="AW25" s="614"/>
      <c r="AX25" s="614"/>
      <c r="AY25" s="614"/>
      <c r="AZ25" s="614"/>
      <c r="BA25" s="614"/>
      <c r="BB25" s="614"/>
      <c r="BC25" s="614"/>
    </row>
    <row r="26" spans="1:55" s="552" customFormat="1" x14ac:dyDescent="0.2">
      <c r="A26" s="567"/>
      <c r="B26" s="568"/>
      <c r="C26" s="569"/>
      <c r="D26" s="568"/>
      <c r="E26" s="569"/>
      <c r="F26" s="568"/>
      <c r="G26" s="570"/>
      <c r="H26" s="571">
        <f t="shared" si="0"/>
        <v>0</v>
      </c>
      <c r="I26" s="572">
        <f t="shared" si="1"/>
        <v>0</v>
      </c>
      <c r="J26" s="163"/>
      <c r="K26" s="163"/>
      <c r="L26" s="163"/>
      <c r="M26" s="163"/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63"/>
      <c r="BB26" s="163"/>
      <c r="BC26" s="163"/>
    </row>
    <row r="27" spans="1:55" s="552" customFormat="1" x14ac:dyDescent="0.2">
      <c r="A27" s="573"/>
      <c r="B27" s="574"/>
      <c r="C27" s="575"/>
      <c r="D27" s="574"/>
      <c r="E27" s="575"/>
      <c r="F27" s="574"/>
      <c r="G27" s="576"/>
      <c r="H27" s="577">
        <f t="shared" si="0"/>
        <v>0</v>
      </c>
      <c r="I27" s="578">
        <f t="shared" si="1"/>
        <v>0</v>
      </c>
      <c r="J27" s="163"/>
      <c r="K27" s="163"/>
      <c r="L27" s="163"/>
      <c r="M27" s="163"/>
      <c r="N27" s="163"/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63"/>
      <c r="AV27" s="163"/>
      <c r="AW27" s="163"/>
      <c r="AX27" s="163"/>
      <c r="AY27" s="163"/>
      <c r="AZ27" s="163"/>
      <c r="BA27" s="163"/>
      <c r="BB27" s="163"/>
      <c r="BC27" s="163"/>
    </row>
    <row r="28" spans="1:55" s="552" customFormat="1" x14ac:dyDescent="0.2">
      <c r="A28" s="573"/>
      <c r="B28" s="574"/>
      <c r="C28" s="575"/>
      <c r="D28" s="574"/>
      <c r="E28" s="575"/>
      <c r="F28" s="574"/>
      <c r="G28" s="576"/>
      <c r="H28" s="577">
        <f t="shared" si="0"/>
        <v>0</v>
      </c>
      <c r="I28" s="578">
        <f t="shared" si="1"/>
        <v>0</v>
      </c>
      <c r="J28" s="163"/>
      <c r="K28" s="163"/>
      <c r="L28" s="163"/>
      <c r="M28" s="163"/>
      <c r="N28" s="163"/>
      <c r="O28" s="163"/>
      <c r="P28" s="163"/>
      <c r="Q28" s="163"/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  <c r="AU28" s="163"/>
      <c r="AV28" s="163"/>
      <c r="AW28" s="163"/>
      <c r="AX28" s="163"/>
      <c r="AY28" s="163"/>
      <c r="AZ28" s="163"/>
      <c r="BA28" s="163"/>
      <c r="BB28" s="163"/>
      <c r="BC28" s="163"/>
    </row>
    <row r="29" spans="1:55" s="552" customFormat="1" ht="13.5" thickBot="1" x14ac:dyDescent="0.25">
      <c r="A29" s="579"/>
      <c r="B29" s="580"/>
      <c r="C29" s="581"/>
      <c r="D29" s="580"/>
      <c r="E29" s="581"/>
      <c r="F29" s="580"/>
      <c r="G29" s="582"/>
      <c r="H29" s="583">
        <f t="shared" si="0"/>
        <v>0</v>
      </c>
      <c r="I29" s="584">
        <f>B29*C29+D29*E29+F29*G29</f>
        <v>0</v>
      </c>
      <c r="J29" s="163"/>
      <c r="K29" s="163"/>
      <c r="L29" s="163"/>
      <c r="M29" s="163"/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  <c r="BA29" s="163"/>
      <c r="BB29" s="163"/>
      <c r="BC29" s="163"/>
    </row>
    <row r="30" spans="1:55" s="615" customFormat="1" ht="12" customHeight="1" thickBot="1" x14ac:dyDescent="0.25">
      <c r="A30" s="850" t="s">
        <v>465</v>
      </c>
      <c r="B30" s="851"/>
      <c r="C30" s="851"/>
      <c r="D30" s="851"/>
      <c r="E30" s="851"/>
      <c r="F30" s="851"/>
      <c r="G30" s="852"/>
      <c r="H30" s="612"/>
      <c r="I30" s="613"/>
      <c r="J30" s="614"/>
      <c r="K30" s="614"/>
      <c r="L30" s="614"/>
      <c r="M30" s="614"/>
      <c r="N30" s="614"/>
      <c r="O30" s="614"/>
      <c r="P30" s="614"/>
      <c r="Q30" s="614"/>
      <c r="R30" s="614"/>
      <c r="S30" s="614"/>
      <c r="T30" s="614"/>
      <c r="U30" s="614"/>
      <c r="V30" s="614"/>
      <c r="W30" s="614"/>
      <c r="X30" s="614"/>
      <c r="Y30" s="614"/>
      <c r="Z30" s="614"/>
      <c r="AA30" s="614"/>
      <c r="AB30" s="614"/>
      <c r="AC30" s="614"/>
      <c r="AD30" s="614"/>
      <c r="AE30" s="614"/>
      <c r="AF30" s="614"/>
      <c r="AG30" s="614"/>
      <c r="AH30" s="614"/>
      <c r="AI30" s="614"/>
      <c r="AJ30" s="614"/>
      <c r="AK30" s="614"/>
      <c r="AL30" s="614"/>
      <c r="AM30" s="614"/>
      <c r="AN30" s="614"/>
      <c r="AO30" s="614"/>
      <c r="AP30" s="614"/>
      <c r="AQ30" s="614"/>
      <c r="AR30" s="614"/>
      <c r="AS30" s="614"/>
      <c r="AT30" s="614"/>
      <c r="AU30" s="614"/>
      <c r="AV30" s="614"/>
      <c r="AW30" s="614"/>
      <c r="AX30" s="614"/>
      <c r="AY30" s="614"/>
      <c r="AZ30" s="614"/>
      <c r="BA30" s="614"/>
      <c r="BB30" s="614"/>
      <c r="BC30" s="614"/>
    </row>
    <row r="31" spans="1:55" s="552" customFormat="1" x14ac:dyDescent="0.2">
      <c r="A31" s="630"/>
      <c r="B31" s="631"/>
      <c r="C31" s="632"/>
      <c r="D31" s="631"/>
      <c r="E31" s="632"/>
      <c r="F31" s="631"/>
      <c r="G31" s="633"/>
      <c r="H31" s="571">
        <f>B31+D31+F31</f>
        <v>0</v>
      </c>
      <c r="I31" s="572">
        <f>B31*C31+D31*E31+F31*G31</f>
        <v>0</v>
      </c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  <c r="BA31" s="163"/>
      <c r="BB31" s="163"/>
      <c r="BC31" s="163"/>
    </row>
    <row r="32" spans="1:55" s="552" customFormat="1" x14ac:dyDescent="0.2">
      <c r="A32" s="634"/>
      <c r="B32" s="635"/>
      <c r="C32" s="636"/>
      <c r="D32" s="635"/>
      <c r="E32" s="636"/>
      <c r="F32" s="635"/>
      <c r="G32" s="637"/>
      <c r="H32" s="577">
        <f>B32+D32+F32</f>
        <v>0</v>
      </c>
      <c r="I32" s="578">
        <f>B32*C32+D32*E32+F32*G32</f>
        <v>0</v>
      </c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163"/>
    </row>
    <row r="33" spans="1:55" s="552" customFormat="1" x14ac:dyDescent="0.2">
      <c r="A33" s="634"/>
      <c r="B33" s="635"/>
      <c r="C33" s="636"/>
      <c r="D33" s="635"/>
      <c r="E33" s="636"/>
      <c r="F33" s="635"/>
      <c r="G33" s="637"/>
      <c r="H33" s="577">
        <f>B33+D33+F33</f>
        <v>0</v>
      </c>
      <c r="I33" s="578">
        <f>B33*C33+D33*E33+F33*G33</f>
        <v>0</v>
      </c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  <c r="BA33" s="163"/>
      <c r="BB33" s="163"/>
      <c r="BC33" s="163"/>
    </row>
    <row r="34" spans="1:55" s="552" customFormat="1" ht="13.5" thickBot="1" x14ac:dyDescent="0.25">
      <c r="A34" s="638"/>
      <c r="B34" s="639"/>
      <c r="C34" s="640"/>
      <c r="D34" s="639"/>
      <c r="E34" s="640"/>
      <c r="F34" s="639"/>
      <c r="G34" s="641"/>
      <c r="H34" s="585">
        <f>B34+D34+F34</f>
        <v>0</v>
      </c>
      <c r="I34" s="586">
        <f>B34*C34+D34*E34+F34*G34</f>
        <v>0</v>
      </c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3"/>
      <c r="AV34" s="163"/>
      <c r="AW34" s="163"/>
      <c r="AX34" s="163"/>
      <c r="AY34" s="163"/>
      <c r="AZ34" s="163"/>
      <c r="BA34" s="163"/>
      <c r="BB34" s="163"/>
      <c r="BC34" s="163"/>
    </row>
    <row r="35" spans="1:55" s="552" customFormat="1" x14ac:dyDescent="0.2">
      <c r="A35" s="587" t="s">
        <v>316</v>
      </c>
      <c r="B35" s="588">
        <f>SUM(B10:B34)</f>
        <v>0</v>
      </c>
      <c r="C35" s="589"/>
      <c r="D35" s="588">
        <f>SUM(D10:D34)</f>
        <v>0</v>
      </c>
      <c r="E35" s="589"/>
      <c r="F35" s="590">
        <f>SUM(F10:F34)</f>
        <v>0</v>
      </c>
      <c r="G35" s="589"/>
      <c r="H35" s="588">
        <f>SUM(H10:H34)</f>
        <v>0</v>
      </c>
      <c r="I35" s="591">
        <f>SUM(I10:I34)</f>
        <v>0</v>
      </c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  <c r="BA35" s="163"/>
      <c r="BB35" s="163"/>
      <c r="BC35" s="163"/>
    </row>
    <row r="36" spans="1:55" s="552" customFormat="1" ht="9.75" customHeight="1" x14ac:dyDescent="0.2">
      <c r="A36" s="589"/>
      <c r="B36" s="589"/>
      <c r="C36" s="589"/>
      <c r="D36" s="589"/>
      <c r="E36" s="589"/>
      <c r="F36" s="589"/>
      <c r="G36" s="589"/>
      <c r="H36" s="589"/>
      <c r="I36" s="589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  <c r="BA36" s="163"/>
      <c r="BB36" s="163"/>
      <c r="BC36" s="163"/>
    </row>
    <row r="37" spans="1:55" s="552" customFormat="1" ht="12" customHeight="1" x14ac:dyDescent="0.2">
      <c r="A37" s="592" t="s">
        <v>317</v>
      </c>
      <c r="B37" s="593"/>
      <c r="C37" s="594" t="e">
        <f>SUM('NHK muuttuu kesken urakan'!J29)</f>
        <v>#DIV/0!</v>
      </c>
      <c r="D37" s="595" t="s">
        <v>318</v>
      </c>
      <c r="E37" s="589"/>
      <c r="F37" s="589"/>
      <c r="G37" s="589"/>
      <c r="H37" s="589"/>
      <c r="I37" s="589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  <c r="BA37" s="163"/>
      <c r="BB37" s="163"/>
      <c r="BC37" s="163"/>
    </row>
    <row r="38" spans="1:55" s="552" customFormat="1" ht="12" customHeight="1" thickBot="1" x14ac:dyDescent="0.25">
      <c r="A38" s="596" t="s">
        <v>305</v>
      </c>
      <c r="B38" s="597"/>
      <c r="C38" s="598">
        <f>H35</f>
        <v>0</v>
      </c>
      <c r="D38" s="599" t="s">
        <v>319</v>
      </c>
      <c r="E38" s="589"/>
      <c r="F38" s="589"/>
      <c r="G38" s="589"/>
      <c r="H38" s="589"/>
      <c r="I38" s="589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  <c r="BA38" s="163"/>
      <c r="BB38" s="163"/>
      <c r="BC38" s="163"/>
    </row>
    <row r="39" spans="1:55" s="552" customFormat="1" ht="12" customHeight="1" thickBot="1" x14ac:dyDescent="0.25">
      <c r="A39" s="589" t="s">
        <v>320</v>
      </c>
      <c r="B39" s="589"/>
      <c r="C39" s="600" t="e">
        <f>SUM(C37/C38)</f>
        <v>#DIV/0!</v>
      </c>
      <c r="D39" s="589"/>
      <c r="E39" s="589"/>
      <c r="F39" s="589"/>
      <c r="G39" s="589"/>
      <c r="H39" s="589"/>
      <c r="I39" s="589"/>
      <c r="J39" s="163"/>
      <c r="K39" s="163"/>
      <c r="L39" s="163"/>
      <c r="M39" s="163"/>
      <c r="N39" s="163"/>
      <c r="O39" s="163"/>
      <c r="P39" s="163"/>
      <c r="Q39" s="163"/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  <c r="BA39" s="163"/>
      <c r="BB39" s="163"/>
      <c r="BC39" s="163"/>
    </row>
    <row r="40" spans="1:55" s="552" customFormat="1" x14ac:dyDescent="0.2">
      <c r="A40" s="589"/>
      <c r="B40" s="589"/>
      <c r="C40" s="589"/>
      <c r="D40" s="589"/>
      <c r="E40" s="589"/>
      <c r="F40" s="589"/>
      <c r="G40" s="589"/>
      <c r="H40" s="589"/>
      <c r="I40" s="589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  <c r="BA40" s="163"/>
      <c r="BB40" s="163"/>
      <c r="BC40" s="163"/>
    </row>
    <row r="41" spans="1:55" x14ac:dyDescent="0.2">
      <c r="A41" s="148"/>
      <c r="B41" s="148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</row>
    <row r="42" spans="1:55" ht="14.25" x14ac:dyDescent="0.2">
      <c r="A42" s="473"/>
      <c r="B42" s="148"/>
      <c r="C42" s="148"/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</row>
    <row r="43" spans="1:55" x14ac:dyDescent="0.2">
      <c r="A43" s="148"/>
      <c r="B43" s="148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</row>
    <row r="44" spans="1:55" x14ac:dyDescent="0.2">
      <c r="A44" s="148"/>
      <c r="B44" s="148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</row>
    <row r="45" spans="1:55" x14ac:dyDescent="0.2">
      <c r="A45" s="148"/>
      <c r="B45" s="148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</row>
    <row r="46" spans="1:55" x14ac:dyDescent="0.2">
      <c r="A46" s="148"/>
      <c r="B46" s="148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</row>
    <row r="47" spans="1:55" x14ac:dyDescent="0.2">
      <c r="A47" s="148"/>
      <c r="B47" s="148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</row>
    <row r="48" spans="1:55" x14ac:dyDescent="0.2">
      <c r="A48" s="148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</row>
    <row r="49" spans="1:55" x14ac:dyDescent="0.2">
      <c r="A49" s="148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</row>
    <row r="50" spans="1:55" x14ac:dyDescent="0.2">
      <c r="A50" s="148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</row>
    <row r="51" spans="1:55" x14ac:dyDescent="0.2">
      <c r="A51" s="148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</row>
    <row r="52" spans="1:55" x14ac:dyDescent="0.2">
      <c r="A52" s="148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</row>
    <row r="53" spans="1:55" x14ac:dyDescent="0.2">
      <c r="A53" s="148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</row>
    <row r="54" spans="1:55" x14ac:dyDescent="0.2">
      <c r="A54" s="148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</row>
    <row r="55" spans="1:55" x14ac:dyDescent="0.2">
      <c r="A55" s="148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</row>
    <row r="56" spans="1:55" x14ac:dyDescent="0.2">
      <c r="A56" s="148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</row>
    <row r="57" spans="1:55" x14ac:dyDescent="0.2">
      <c r="A57" s="148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</row>
    <row r="58" spans="1:55" x14ac:dyDescent="0.2">
      <c r="A58" s="148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</row>
    <row r="59" spans="1:55" x14ac:dyDescent="0.2">
      <c r="A59" s="148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</row>
    <row r="60" spans="1:55" x14ac:dyDescent="0.2">
      <c r="A60" s="148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</row>
    <row r="61" spans="1:55" x14ac:dyDescent="0.2">
      <c r="A61" s="148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</row>
    <row r="62" spans="1:55" x14ac:dyDescent="0.2">
      <c r="A62" s="148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</row>
    <row r="63" spans="1:55" x14ac:dyDescent="0.2">
      <c r="A63" s="148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</row>
    <row r="64" spans="1:55" x14ac:dyDescent="0.2">
      <c r="A64" s="148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</row>
    <row r="65" spans="1:55" x14ac:dyDescent="0.2">
      <c r="A65" s="148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</row>
    <row r="66" spans="1:55" x14ac:dyDescent="0.2">
      <c r="A66" s="148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</row>
    <row r="67" spans="1:55" x14ac:dyDescent="0.2">
      <c r="A67" s="148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</row>
    <row r="68" spans="1:55" x14ac:dyDescent="0.2">
      <c r="A68" s="148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</row>
    <row r="69" spans="1:55" x14ac:dyDescent="0.2">
      <c r="A69" s="148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</row>
    <row r="70" spans="1:55" x14ac:dyDescent="0.2">
      <c r="A70" s="148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</row>
    <row r="71" spans="1:55" x14ac:dyDescent="0.2">
      <c r="A71" s="148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</row>
    <row r="72" spans="1:55" x14ac:dyDescent="0.2">
      <c r="A72" s="148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</row>
    <row r="73" spans="1:55" x14ac:dyDescent="0.2">
      <c r="A73" s="148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</row>
    <row r="74" spans="1:55" x14ac:dyDescent="0.2">
      <c r="A74" s="148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</row>
    <row r="75" spans="1:55" x14ac:dyDescent="0.2">
      <c r="A75" s="148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</row>
    <row r="76" spans="1:55" x14ac:dyDescent="0.2">
      <c r="A76" s="148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</row>
    <row r="77" spans="1:55" x14ac:dyDescent="0.2">
      <c r="A77" s="148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</row>
    <row r="78" spans="1:55" x14ac:dyDescent="0.2">
      <c r="A78" s="148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</row>
    <row r="79" spans="1:55" x14ac:dyDescent="0.2">
      <c r="A79" s="148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</row>
    <row r="80" spans="1:55" x14ac:dyDescent="0.2">
      <c r="A80" s="148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</row>
    <row r="81" spans="1:55" x14ac:dyDescent="0.2">
      <c r="A81" s="148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</row>
    <row r="82" spans="1:55" x14ac:dyDescent="0.2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</row>
    <row r="83" spans="1:55" x14ac:dyDescent="0.2">
      <c r="A83" s="148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</row>
    <row r="84" spans="1:55" x14ac:dyDescent="0.2">
      <c r="A84" s="148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</row>
    <row r="85" spans="1:55" x14ac:dyDescent="0.2">
      <c r="A85" s="148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</row>
    <row r="86" spans="1:55" x14ac:dyDescent="0.2">
      <c r="A86" s="148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</row>
    <row r="87" spans="1:55" x14ac:dyDescent="0.2">
      <c r="A87" s="148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</row>
    <row r="88" spans="1:55" x14ac:dyDescent="0.2">
      <c r="A88" s="148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</row>
    <row r="89" spans="1:55" x14ac:dyDescent="0.2">
      <c r="A89" s="148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</row>
    <row r="90" spans="1:55" x14ac:dyDescent="0.2">
      <c r="A90" s="148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</row>
    <row r="91" spans="1:55" x14ac:dyDescent="0.2">
      <c r="A91" s="148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</row>
    <row r="92" spans="1:55" x14ac:dyDescent="0.2">
      <c r="A92" s="148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</row>
    <row r="93" spans="1:55" x14ac:dyDescent="0.2">
      <c r="A93" s="148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</row>
    <row r="94" spans="1:55" x14ac:dyDescent="0.2">
      <c r="A94" s="148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</row>
    <row r="95" spans="1:55" x14ac:dyDescent="0.2">
      <c r="A95" s="148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</row>
    <row r="96" spans="1:55" x14ac:dyDescent="0.2">
      <c r="A96" s="148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</row>
    <row r="97" spans="1:55" x14ac:dyDescent="0.2">
      <c r="A97" s="148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</row>
    <row r="98" spans="1:55" x14ac:dyDescent="0.2">
      <c r="A98" s="148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</row>
    <row r="99" spans="1:55" x14ac:dyDescent="0.2">
      <c r="A99" s="148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</row>
    <row r="100" spans="1:55" x14ac:dyDescent="0.2">
      <c r="A100" s="148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</row>
    <row r="101" spans="1:55" x14ac:dyDescent="0.2">
      <c r="A101" s="148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</row>
    <row r="102" spans="1:55" x14ac:dyDescent="0.2">
      <c r="A102" s="148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</row>
    <row r="103" spans="1:55" x14ac:dyDescent="0.2">
      <c r="A103" s="148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</row>
    <row r="104" spans="1:55" x14ac:dyDescent="0.2">
      <c r="A104" s="148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</row>
    <row r="105" spans="1:55" x14ac:dyDescent="0.2">
      <c r="A105" s="148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</row>
    <row r="106" spans="1:55" x14ac:dyDescent="0.2">
      <c r="A106" s="148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</row>
    <row r="107" spans="1:55" x14ac:dyDescent="0.2">
      <c r="A107" s="148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</row>
    <row r="108" spans="1:55" x14ac:dyDescent="0.2">
      <c r="A108" s="148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</row>
    <row r="109" spans="1:55" x14ac:dyDescent="0.2">
      <c r="A109" s="148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</row>
    <row r="110" spans="1:55" x14ac:dyDescent="0.2">
      <c r="A110" s="148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</row>
    <row r="111" spans="1:55" x14ac:dyDescent="0.2">
      <c r="A111" s="148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</row>
    <row r="112" spans="1:55" x14ac:dyDescent="0.2">
      <c r="A112" s="148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</row>
    <row r="113" spans="1:55" x14ac:dyDescent="0.2">
      <c r="A113" s="148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</row>
    <row r="114" spans="1:55" x14ac:dyDescent="0.2">
      <c r="A114" s="148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</row>
    <row r="115" spans="1:55" x14ac:dyDescent="0.2">
      <c r="A115" s="148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</row>
    <row r="116" spans="1:55" x14ac:dyDescent="0.2">
      <c r="A116" s="148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</row>
    <row r="117" spans="1:55" x14ac:dyDescent="0.2">
      <c r="A117" s="148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</row>
    <row r="118" spans="1:55" x14ac:dyDescent="0.2">
      <c r="A118" s="148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</row>
    <row r="119" spans="1:55" x14ac:dyDescent="0.2">
      <c r="A119" s="148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</row>
    <row r="120" spans="1:55" x14ac:dyDescent="0.2">
      <c r="A120" s="148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</row>
    <row r="121" spans="1:55" x14ac:dyDescent="0.2">
      <c r="A121" s="148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</row>
    <row r="122" spans="1:55" x14ac:dyDescent="0.2">
      <c r="A122" s="148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</row>
    <row r="123" spans="1:55" x14ac:dyDescent="0.2">
      <c r="A123" s="148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</row>
    <row r="124" spans="1:55" x14ac:dyDescent="0.2">
      <c r="A124" s="148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</row>
    <row r="125" spans="1:55" x14ac:dyDescent="0.2">
      <c r="A125" s="148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</row>
    <row r="126" spans="1:55" x14ac:dyDescent="0.2">
      <c r="A126" s="148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</row>
    <row r="127" spans="1:55" x14ac:dyDescent="0.2">
      <c r="A127" s="148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</row>
    <row r="128" spans="1:55" x14ac:dyDescent="0.2">
      <c r="A128" s="148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</row>
    <row r="129" spans="1:55" x14ac:dyDescent="0.2">
      <c r="A129" s="148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</row>
    <row r="130" spans="1:55" x14ac:dyDescent="0.2">
      <c r="A130" s="148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</row>
    <row r="131" spans="1:55" x14ac:dyDescent="0.2">
      <c r="A131" s="148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</row>
    <row r="132" spans="1:55" x14ac:dyDescent="0.2">
      <c r="A132" s="148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</row>
    <row r="133" spans="1:55" x14ac:dyDescent="0.2">
      <c r="A133" s="148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</row>
    <row r="134" spans="1:55" x14ac:dyDescent="0.2">
      <c r="A134" s="148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</row>
    <row r="135" spans="1:55" x14ac:dyDescent="0.2">
      <c r="A135" s="148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</row>
    <row r="136" spans="1:55" x14ac:dyDescent="0.2">
      <c r="A136" s="148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</row>
    <row r="137" spans="1:55" x14ac:dyDescent="0.2">
      <c r="A137" s="148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</row>
    <row r="138" spans="1:55" x14ac:dyDescent="0.2">
      <c r="A138" s="148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</row>
    <row r="139" spans="1:55" x14ac:dyDescent="0.2">
      <c r="A139" s="148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</row>
    <row r="140" spans="1:55" x14ac:dyDescent="0.2">
      <c r="A140" s="148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</row>
    <row r="141" spans="1:55" x14ac:dyDescent="0.2">
      <c r="A141" s="148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</row>
    <row r="142" spans="1:55" x14ac:dyDescent="0.2">
      <c r="A142" s="148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</row>
    <row r="143" spans="1:55" x14ac:dyDescent="0.2">
      <c r="A143" s="148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</row>
    <row r="144" spans="1:55" x14ac:dyDescent="0.2">
      <c r="A144" s="148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</row>
    <row r="145" spans="1:55" x14ac:dyDescent="0.2">
      <c r="A145" s="148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</row>
    <row r="146" spans="1:55" x14ac:dyDescent="0.2">
      <c r="A146" s="148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</row>
    <row r="147" spans="1:55" x14ac:dyDescent="0.2">
      <c r="A147" s="148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</row>
    <row r="148" spans="1:55" x14ac:dyDescent="0.2">
      <c r="A148" s="148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</row>
    <row r="149" spans="1:55" x14ac:dyDescent="0.2">
      <c r="A149" s="148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</row>
    <row r="150" spans="1:55" x14ac:dyDescent="0.2">
      <c r="A150" s="148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</row>
    <row r="151" spans="1:55" x14ac:dyDescent="0.2">
      <c r="A151" s="148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</row>
    <row r="152" spans="1:55" x14ac:dyDescent="0.2">
      <c r="A152" s="148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</row>
    <row r="153" spans="1:55" x14ac:dyDescent="0.2">
      <c r="A153" s="148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</row>
    <row r="154" spans="1:55" x14ac:dyDescent="0.2">
      <c r="A154" s="148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</row>
    <row r="155" spans="1:55" x14ac:dyDescent="0.2">
      <c r="A155" s="148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</row>
    <row r="156" spans="1:55" x14ac:dyDescent="0.2">
      <c r="A156" s="148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</row>
    <row r="157" spans="1:55" x14ac:dyDescent="0.2">
      <c r="A157" s="148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</row>
    <row r="158" spans="1:55" x14ac:dyDescent="0.2">
      <c r="A158" s="148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</row>
    <row r="159" spans="1:55" x14ac:dyDescent="0.2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</row>
    <row r="160" spans="1:55" x14ac:dyDescent="0.2">
      <c r="A160" s="148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</row>
    <row r="161" spans="1:55" x14ac:dyDescent="0.2">
      <c r="A161" s="148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</row>
    <row r="162" spans="1:55" x14ac:dyDescent="0.2">
      <c r="A162" s="148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</row>
    <row r="163" spans="1:55" x14ac:dyDescent="0.2">
      <c r="A163" s="148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</row>
    <row r="164" spans="1:55" x14ac:dyDescent="0.2">
      <c r="A164" s="148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</row>
    <row r="165" spans="1:55" x14ac:dyDescent="0.2">
      <c r="A165" s="148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</row>
    <row r="166" spans="1:55" x14ac:dyDescent="0.2">
      <c r="A166" s="148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</row>
    <row r="167" spans="1:55" x14ac:dyDescent="0.2">
      <c r="A167" s="148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</row>
    <row r="168" spans="1:55" x14ac:dyDescent="0.2">
      <c r="A168" s="148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</row>
    <row r="169" spans="1:55" x14ac:dyDescent="0.2">
      <c r="A169" s="148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</row>
    <row r="170" spans="1:55" x14ac:dyDescent="0.2">
      <c r="A170" s="148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</row>
    <row r="171" spans="1:55" x14ac:dyDescent="0.2">
      <c r="A171" s="148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</row>
    <row r="172" spans="1:55" x14ac:dyDescent="0.2">
      <c r="A172" s="148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</row>
    <row r="173" spans="1:55" x14ac:dyDescent="0.2">
      <c r="A173" s="148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</row>
    <row r="174" spans="1:55" x14ac:dyDescent="0.2">
      <c r="A174" s="148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</row>
    <row r="175" spans="1:55" x14ac:dyDescent="0.2">
      <c r="A175" s="148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</row>
    <row r="176" spans="1:55" x14ac:dyDescent="0.2">
      <c r="A176" s="148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</row>
    <row r="177" spans="1:55" x14ac:dyDescent="0.2">
      <c r="A177" s="148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</row>
    <row r="178" spans="1:55" x14ac:dyDescent="0.2">
      <c r="A178" s="148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</row>
    <row r="179" spans="1:55" x14ac:dyDescent="0.2">
      <c r="A179" s="148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</row>
    <row r="180" spans="1:55" x14ac:dyDescent="0.2">
      <c r="A180" s="148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</row>
    <row r="181" spans="1:55" x14ac:dyDescent="0.2">
      <c r="A181" s="148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</row>
    <row r="182" spans="1:55" x14ac:dyDescent="0.2">
      <c r="A182" s="148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</row>
    <row r="183" spans="1:55" x14ac:dyDescent="0.2">
      <c r="A183" s="148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</row>
    <row r="184" spans="1:55" x14ac:dyDescent="0.2">
      <c r="A184" s="148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</row>
    <row r="185" spans="1:55" x14ac:dyDescent="0.2">
      <c r="A185" s="148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</row>
    <row r="186" spans="1:55" x14ac:dyDescent="0.2">
      <c r="A186" s="148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</row>
    <row r="187" spans="1:55" x14ac:dyDescent="0.2">
      <c r="A187" s="148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</row>
    <row r="188" spans="1:55" x14ac:dyDescent="0.2">
      <c r="A188" s="148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</row>
    <row r="189" spans="1:55" x14ac:dyDescent="0.2">
      <c r="A189" s="148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</row>
    <row r="190" spans="1:55" x14ac:dyDescent="0.2">
      <c r="A190" s="148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</row>
    <row r="191" spans="1:55" x14ac:dyDescent="0.2">
      <c r="A191" s="148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</row>
    <row r="192" spans="1:55" x14ac:dyDescent="0.2">
      <c r="A192" s="148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</row>
    <row r="193" spans="1:55" x14ac:dyDescent="0.2">
      <c r="A193" s="148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</row>
    <row r="194" spans="1:55" x14ac:dyDescent="0.2">
      <c r="A194" s="148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</row>
    <row r="195" spans="1:55" x14ac:dyDescent="0.2">
      <c r="A195" s="148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</row>
    <row r="196" spans="1:55" x14ac:dyDescent="0.2">
      <c r="A196" s="148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</row>
    <row r="197" spans="1:55" x14ac:dyDescent="0.2">
      <c r="A197" s="148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</row>
    <row r="198" spans="1:55" x14ac:dyDescent="0.2">
      <c r="A198" s="148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</row>
    <row r="199" spans="1:55" x14ac:dyDescent="0.2">
      <c r="A199" s="148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</row>
    <row r="200" spans="1:55" x14ac:dyDescent="0.2">
      <c r="A200" s="148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</row>
    <row r="201" spans="1:55" x14ac:dyDescent="0.2">
      <c r="A201" s="148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</row>
    <row r="202" spans="1:55" x14ac:dyDescent="0.2">
      <c r="A202" s="148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</row>
    <row r="203" spans="1:55" x14ac:dyDescent="0.2">
      <c r="A203" s="148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</row>
    <row r="204" spans="1:55" x14ac:dyDescent="0.2">
      <c r="A204" s="148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</row>
    <row r="205" spans="1:55" x14ac:dyDescent="0.2">
      <c r="A205" s="148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</row>
    <row r="206" spans="1:55" x14ac:dyDescent="0.2">
      <c r="A206" s="148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</row>
    <row r="207" spans="1:55" x14ac:dyDescent="0.2">
      <c r="A207" s="148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</row>
    <row r="208" spans="1:55" x14ac:dyDescent="0.2">
      <c r="A208" s="148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</row>
    <row r="209" spans="1:55" x14ac:dyDescent="0.2">
      <c r="A209" s="148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</row>
    <row r="210" spans="1:55" x14ac:dyDescent="0.2">
      <c r="A210" s="148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</row>
    <row r="211" spans="1:55" x14ac:dyDescent="0.2">
      <c r="A211" s="148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</row>
    <row r="212" spans="1:55" x14ac:dyDescent="0.2">
      <c r="A212" s="148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</row>
    <row r="213" spans="1:55" x14ac:dyDescent="0.2">
      <c r="A213" s="148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</row>
    <row r="214" spans="1:55" x14ac:dyDescent="0.2">
      <c r="A214" s="148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</row>
    <row r="215" spans="1:55" x14ac:dyDescent="0.2">
      <c r="A215" s="148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</row>
    <row r="216" spans="1:55" x14ac:dyDescent="0.2">
      <c r="A216" s="148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</row>
    <row r="217" spans="1:55" x14ac:dyDescent="0.2">
      <c r="A217" s="148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</row>
    <row r="218" spans="1:55" x14ac:dyDescent="0.2">
      <c r="A218" s="148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</row>
    <row r="219" spans="1:55" x14ac:dyDescent="0.2">
      <c r="A219" s="148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</row>
    <row r="220" spans="1:55" x14ac:dyDescent="0.2">
      <c r="A220" s="148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</row>
    <row r="221" spans="1:55" x14ac:dyDescent="0.2">
      <c r="A221" s="148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</row>
    <row r="222" spans="1:55" x14ac:dyDescent="0.2">
      <c r="A222" s="148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</row>
    <row r="223" spans="1:55" x14ac:dyDescent="0.2">
      <c r="A223" s="148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</row>
    <row r="224" spans="1:55" x14ac:dyDescent="0.2">
      <c r="A224" s="148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</row>
    <row r="225" spans="1:55" x14ac:dyDescent="0.2">
      <c r="A225" s="148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</row>
    <row r="226" spans="1:55" x14ac:dyDescent="0.2">
      <c r="A226" s="148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</row>
    <row r="227" spans="1:55" x14ac:dyDescent="0.2">
      <c r="A227" s="148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</row>
    <row r="228" spans="1:55" x14ac:dyDescent="0.2">
      <c r="A228" s="148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</row>
    <row r="229" spans="1:55" x14ac:dyDescent="0.2">
      <c r="A229" s="148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</row>
    <row r="230" spans="1:55" x14ac:dyDescent="0.2">
      <c r="A230" s="148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</row>
    <row r="231" spans="1:55" x14ac:dyDescent="0.2">
      <c r="A231" s="148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</row>
    <row r="232" spans="1:55" x14ac:dyDescent="0.2">
      <c r="A232" s="148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</row>
    <row r="233" spans="1:55" x14ac:dyDescent="0.2">
      <c r="A233" s="148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</row>
    <row r="234" spans="1:55" x14ac:dyDescent="0.2">
      <c r="A234" s="148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</row>
    <row r="235" spans="1:55" x14ac:dyDescent="0.2">
      <c r="A235" s="148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</row>
    <row r="236" spans="1:55" x14ac:dyDescent="0.2">
      <c r="A236" s="148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</row>
    <row r="237" spans="1:55" x14ac:dyDescent="0.2">
      <c r="A237" s="148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</row>
    <row r="238" spans="1:55" x14ac:dyDescent="0.2">
      <c r="A238" s="148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</row>
    <row r="239" spans="1:55" x14ac:dyDescent="0.2">
      <c r="A239" s="148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</row>
    <row r="240" spans="1:55" x14ac:dyDescent="0.2">
      <c r="A240" s="148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</row>
    <row r="241" spans="1:55" x14ac:dyDescent="0.2">
      <c r="A241" s="148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</row>
    <row r="242" spans="1:55" x14ac:dyDescent="0.2">
      <c r="A242" s="148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</row>
    <row r="243" spans="1:55" x14ac:dyDescent="0.2">
      <c r="A243" s="148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</row>
    <row r="244" spans="1:55" x14ac:dyDescent="0.2">
      <c r="A244" s="148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</row>
    <row r="245" spans="1:55" x14ac:dyDescent="0.2">
      <c r="A245" s="148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</row>
    <row r="246" spans="1:55" x14ac:dyDescent="0.2">
      <c r="A246" s="148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</row>
    <row r="247" spans="1:55" x14ac:dyDescent="0.2">
      <c r="A247" s="148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</row>
    <row r="248" spans="1:55" x14ac:dyDescent="0.2">
      <c r="A248" s="148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</row>
    <row r="249" spans="1:55" x14ac:dyDescent="0.2">
      <c r="A249" s="148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</row>
    <row r="250" spans="1:55" x14ac:dyDescent="0.2">
      <c r="A250" s="148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</row>
    <row r="251" spans="1:55" x14ac:dyDescent="0.2">
      <c r="A251" s="148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</row>
    <row r="252" spans="1:55" x14ac:dyDescent="0.2">
      <c r="A252" s="148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</row>
    <row r="253" spans="1:55" x14ac:dyDescent="0.2">
      <c r="A253" s="148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</row>
    <row r="254" spans="1:55" x14ac:dyDescent="0.2">
      <c r="A254" s="148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</row>
    <row r="255" spans="1:55" x14ac:dyDescent="0.2">
      <c r="A255" s="148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</row>
    <row r="256" spans="1:55" x14ac:dyDescent="0.2">
      <c r="A256" s="148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</row>
    <row r="257" spans="1:55" x14ac:dyDescent="0.2">
      <c r="A257" s="148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</row>
    <row r="258" spans="1:55" x14ac:dyDescent="0.2">
      <c r="A258" s="148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</row>
    <row r="259" spans="1:55" x14ac:dyDescent="0.2">
      <c r="A259" s="148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</row>
    <row r="260" spans="1:55" x14ac:dyDescent="0.2">
      <c r="A260" s="148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</row>
    <row r="261" spans="1:55" x14ac:dyDescent="0.2">
      <c r="A261" s="148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</row>
    <row r="262" spans="1:55" x14ac:dyDescent="0.2">
      <c r="A262" s="148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</row>
    <row r="263" spans="1:55" x14ac:dyDescent="0.2">
      <c r="A263" s="148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</row>
    <row r="264" spans="1:55" x14ac:dyDescent="0.2">
      <c r="A264" s="148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</row>
    <row r="265" spans="1:55" x14ac:dyDescent="0.2">
      <c r="A265" s="148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</row>
    <row r="266" spans="1:55" x14ac:dyDescent="0.2">
      <c r="A266" s="148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</row>
    <row r="267" spans="1:55" x14ac:dyDescent="0.2">
      <c r="A267" s="148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</row>
    <row r="268" spans="1:55" x14ac:dyDescent="0.2">
      <c r="A268" s="148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</row>
    <row r="269" spans="1:55" x14ac:dyDescent="0.2">
      <c r="A269" s="148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</row>
    <row r="270" spans="1:55" x14ac:dyDescent="0.2">
      <c r="A270" s="148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</row>
    <row r="271" spans="1:55" x14ac:dyDescent="0.2">
      <c r="A271" s="148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</row>
    <row r="272" spans="1:55" x14ac:dyDescent="0.2">
      <c r="A272" s="148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</row>
    <row r="273" spans="1:55" x14ac:dyDescent="0.2">
      <c r="A273" s="148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</row>
    <row r="274" spans="1:55" x14ac:dyDescent="0.2">
      <c r="A274" s="148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</row>
    <row r="275" spans="1:55" x14ac:dyDescent="0.2">
      <c r="A275" s="148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</row>
    <row r="276" spans="1:55" x14ac:dyDescent="0.2">
      <c r="A276" s="148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</row>
    <row r="277" spans="1:55" x14ac:dyDescent="0.2">
      <c r="A277" s="148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</row>
    <row r="278" spans="1:55" x14ac:dyDescent="0.2">
      <c r="A278" s="148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</row>
    <row r="279" spans="1:55" x14ac:dyDescent="0.2">
      <c r="A279" s="148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</row>
    <row r="280" spans="1:55" x14ac:dyDescent="0.2">
      <c r="A280" s="148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</row>
    <row r="281" spans="1:55" x14ac:dyDescent="0.2">
      <c r="A281" s="148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</row>
    <row r="282" spans="1:55" x14ac:dyDescent="0.2">
      <c r="A282" s="148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</row>
    <row r="283" spans="1:55" x14ac:dyDescent="0.2">
      <c r="A283" s="148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</row>
    <row r="284" spans="1:55" x14ac:dyDescent="0.2">
      <c r="A284" s="148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</row>
    <row r="285" spans="1:55" x14ac:dyDescent="0.2">
      <c r="A285" s="148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</row>
    <row r="286" spans="1:55" x14ac:dyDescent="0.2">
      <c r="A286" s="148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</row>
    <row r="287" spans="1:55" x14ac:dyDescent="0.2">
      <c r="A287" s="148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</row>
    <row r="288" spans="1:55" x14ac:dyDescent="0.2">
      <c r="A288" s="148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</row>
    <row r="289" spans="1:55" x14ac:dyDescent="0.2">
      <c r="A289" s="148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</row>
    <row r="290" spans="1:55" x14ac:dyDescent="0.2">
      <c r="A290" s="148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</row>
    <row r="291" spans="1:55" x14ac:dyDescent="0.2">
      <c r="A291" s="148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</row>
    <row r="292" spans="1:55" x14ac:dyDescent="0.2">
      <c r="A292" s="148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</row>
    <row r="293" spans="1:55" x14ac:dyDescent="0.2">
      <c r="A293" s="148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</row>
    <row r="294" spans="1:55" x14ac:dyDescent="0.2">
      <c r="A294" s="148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</row>
    <row r="295" spans="1:55" x14ac:dyDescent="0.2">
      <c r="A295" s="148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</row>
    <row r="296" spans="1:55" x14ac:dyDescent="0.2">
      <c r="A296" s="148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</row>
    <row r="297" spans="1:55" x14ac:dyDescent="0.2">
      <c r="A297" s="148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</row>
    <row r="298" spans="1:55" x14ac:dyDescent="0.2">
      <c r="A298" s="148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</row>
    <row r="299" spans="1:55" x14ac:dyDescent="0.2">
      <c r="A299" s="148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48"/>
    </row>
    <row r="300" spans="1:55" x14ac:dyDescent="0.2">
      <c r="A300" s="148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</row>
    <row r="301" spans="1:55" x14ac:dyDescent="0.2">
      <c r="A301" s="148"/>
      <c r="B301" s="148"/>
      <c r="C301" s="148"/>
      <c r="D301" s="148"/>
      <c r="E301" s="148"/>
      <c r="F301" s="148"/>
      <c r="G301" s="148"/>
      <c r="H301" s="148"/>
      <c r="I301" s="148"/>
      <c r="J301" s="148"/>
      <c r="K301" s="148"/>
      <c r="L301" s="148"/>
      <c r="M301" s="148"/>
      <c r="N301" s="148"/>
      <c r="O301" s="148"/>
      <c r="P301" s="148"/>
      <c r="Q301" s="148"/>
      <c r="R301" s="148"/>
      <c r="S301" s="148"/>
      <c r="T301" s="148"/>
      <c r="U301" s="148"/>
      <c r="V301" s="148"/>
      <c r="W301" s="14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/>
      <c r="AH301" s="148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</row>
    <row r="302" spans="1:55" x14ac:dyDescent="0.2">
      <c r="A302" s="148"/>
      <c r="B302" s="148"/>
      <c r="C302" s="148"/>
      <c r="D302" s="148"/>
      <c r="E302" s="148"/>
      <c r="F302" s="148"/>
      <c r="G302" s="148"/>
      <c r="H302" s="148"/>
      <c r="I302" s="148"/>
      <c r="J302" s="148"/>
      <c r="K302" s="148"/>
      <c r="L302" s="148"/>
      <c r="M302" s="148"/>
      <c r="N302" s="148"/>
      <c r="O302" s="148"/>
      <c r="P302" s="148"/>
      <c r="Q302" s="148"/>
      <c r="R302" s="148"/>
      <c r="S302" s="148"/>
      <c r="T302" s="148"/>
      <c r="U302" s="148"/>
      <c r="V302" s="148"/>
      <c r="W302" s="148"/>
      <c r="X302" s="148"/>
      <c r="Y302" s="148"/>
      <c r="Z302" s="148"/>
      <c r="AA302" s="148"/>
      <c r="AB302" s="148"/>
      <c r="AC302" s="148"/>
      <c r="AD302" s="148"/>
      <c r="AE302" s="148"/>
      <c r="AF302" s="148"/>
      <c r="AG302" s="148"/>
      <c r="AH302" s="148"/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</row>
    <row r="303" spans="1:55" x14ac:dyDescent="0.2">
      <c r="A303" s="148"/>
      <c r="B303" s="148"/>
      <c r="C303" s="148"/>
      <c r="D303" s="148"/>
      <c r="E303" s="148"/>
      <c r="F303" s="148"/>
      <c r="G303" s="148"/>
      <c r="H303" s="148"/>
      <c r="I303" s="148"/>
      <c r="J303" s="148"/>
      <c r="K303" s="148"/>
      <c r="L303" s="148"/>
      <c r="M303" s="148"/>
      <c r="N303" s="148"/>
      <c r="O303" s="148"/>
      <c r="P303" s="148"/>
      <c r="Q303" s="148"/>
      <c r="R303" s="148"/>
      <c r="S303" s="148"/>
      <c r="T303" s="148"/>
      <c r="U303" s="148"/>
      <c r="V303" s="148"/>
      <c r="W303" s="148"/>
      <c r="X303" s="148"/>
      <c r="Y303" s="148"/>
      <c r="Z303" s="148"/>
      <c r="AA303" s="148"/>
      <c r="AB303" s="148"/>
      <c r="AC303" s="148"/>
      <c r="AD303" s="148"/>
      <c r="AE303" s="148"/>
      <c r="AF303" s="148"/>
      <c r="AG303" s="148"/>
      <c r="AH303" s="148"/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</row>
    <row r="304" spans="1:55" x14ac:dyDescent="0.2">
      <c r="A304" s="148"/>
      <c r="B304" s="148"/>
      <c r="C304" s="148"/>
      <c r="D304" s="148"/>
      <c r="E304" s="148"/>
      <c r="F304" s="148"/>
      <c r="G304" s="148"/>
      <c r="H304" s="148"/>
      <c r="I304" s="148"/>
      <c r="J304" s="148"/>
      <c r="K304" s="148"/>
      <c r="L304" s="148"/>
      <c r="M304" s="148"/>
      <c r="N304" s="148"/>
      <c r="O304" s="148"/>
      <c r="P304" s="148"/>
      <c r="Q304" s="148"/>
      <c r="R304" s="148"/>
      <c r="S304" s="148"/>
      <c r="T304" s="148"/>
      <c r="U304" s="148"/>
      <c r="V304" s="148"/>
      <c r="W304" s="14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/>
      <c r="AH304" s="148"/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</row>
    <row r="305" spans="1:55" x14ac:dyDescent="0.2">
      <c r="A305" s="148"/>
      <c r="B305" s="148"/>
      <c r="C305" s="148"/>
      <c r="D305" s="148"/>
      <c r="E305" s="148"/>
      <c r="F305" s="148"/>
      <c r="G305" s="148"/>
      <c r="H305" s="148"/>
      <c r="I305" s="148"/>
      <c r="J305" s="148"/>
      <c r="K305" s="148"/>
      <c r="L305" s="148"/>
      <c r="M305" s="148"/>
      <c r="N305" s="148"/>
      <c r="O305" s="148"/>
      <c r="P305" s="148"/>
      <c r="Q305" s="148"/>
      <c r="R305" s="148"/>
      <c r="S305" s="148"/>
      <c r="T305" s="148"/>
      <c r="U305" s="148"/>
      <c r="V305" s="148"/>
      <c r="W305" s="148"/>
      <c r="X305" s="148"/>
      <c r="Y305" s="148"/>
      <c r="Z305" s="148"/>
      <c r="AA305" s="148"/>
      <c r="AB305" s="148"/>
      <c r="AC305" s="148"/>
      <c r="AD305" s="148"/>
      <c r="AE305" s="148"/>
      <c r="AF305" s="148"/>
      <c r="AG305" s="148"/>
      <c r="AH305" s="148"/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</row>
    <row r="306" spans="1:55" x14ac:dyDescent="0.2">
      <c r="A306" s="148"/>
      <c r="B306" s="148"/>
      <c r="C306" s="148"/>
      <c r="D306" s="148"/>
      <c r="E306" s="148"/>
      <c r="F306" s="148"/>
      <c r="G306" s="148"/>
      <c r="H306" s="148"/>
      <c r="I306" s="148"/>
      <c r="J306" s="148"/>
      <c r="K306" s="148"/>
      <c r="L306" s="148"/>
      <c r="M306" s="148"/>
      <c r="N306" s="148"/>
      <c r="O306" s="148"/>
      <c r="P306" s="148"/>
      <c r="Q306" s="148"/>
      <c r="R306" s="148"/>
      <c r="S306" s="148"/>
      <c r="T306" s="148"/>
      <c r="U306" s="148"/>
      <c r="V306" s="148"/>
      <c r="W306" s="14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/>
      <c r="AH306" s="148"/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</row>
    <row r="307" spans="1:55" x14ac:dyDescent="0.2">
      <c r="A307" s="148"/>
      <c r="B307" s="148"/>
      <c r="C307" s="148"/>
      <c r="D307" s="148"/>
      <c r="E307" s="148"/>
      <c r="F307" s="148"/>
      <c r="G307" s="148"/>
      <c r="H307" s="148"/>
      <c r="I307" s="148"/>
      <c r="J307" s="148"/>
      <c r="K307" s="148"/>
      <c r="L307" s="148"/>
      <c r="M307" s="148"/>
      <c r="N307" s="148"/>
      <c r="O307" s="148"/>
      <c r="P307" s="148"/>
      <c r="Q307" s="148"/>
      <c r="R307" s="148"/>
      <c r="S307" s="148"/>
      <c r="T307" s="148"/>
      <c r="U307" s="148"/>
      <c r="V307" s="148"/>
      <c r="W307" s="14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/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</row>
    <row r="308" spans="1:55" x14ac:dyDescent="0.2">
      <c r="A308" s="148"/>
      <c r="B308" s="148"/>
      <c r="C308" s="148"/>
      <c r="D308" s="148"/>
      <c r="E308" s="148"/>
      <c r="F308" s="148"/>
      <c r="G308" s="148"/>
      <c r="H308" s="148"/>
      <c r="I308" s="148"/>
      <c r="J308" s="148"/>
      <c r="K308" s="148"/>
      <c r="L308" s="148"/>
      <c r="M308" s="148"/>
      <c r="N308" s="148"/>
      <c r="O308" s="148"/>
      <c r="P308" s="148"/>
      <c r="Q308" s="148"/>
      <c r="R308" s="148"/>
      <c r="S308" s="148"/>
      <c r="T308" s="148"/>
      <c r="U308" s="148"/>
      <c r="V308" s="148"/>
      <c r="W308" s="148"/>
      <c r="X308" s="148"/>
      <c r="Y308" s="148"/>
      <c r="Z308" s="148"/>
      <c r="AA308" s="148"/>
      <c r="AB308" s="148"/>
      <c r="AC308" s="148"/>
      <c r="AD308" s="148"/>
      <c r="AE308" s="148"/>
      <c r="AF308" s="148"/>
      <c r="AG308" s="148"/>
      <c r="AH308" s="148"/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</row>
    <row r="309" spans="1:55" x14ac:dyDescent="0.2">
      <c r="A309" s="148"/>
      <c r="B309" s="148"/>
      <c r="C309" s="148"/>
      <c r="D309" s="148"/>
      <c r="E309" s="148"/>
      <c r="F309" s="148"/>
      <c r="G309" s="148"/>
      <c r="H309" s="148"/>
      <c r="I309" s="148"/>
      <c r="J309" s="148"/>
      <c r="K309" s="148"/>
      <c r="L309" s="148"/>
      <c r="M309" s="148"/>
      <c r="N309" s="148"/>
      <c r="O309" s="148"/>
      <c r="P309" s="148"/>
      <c r="Q309" s="148"/>
      <c r="R309" s="148"/>
      <c r="S309" s="148"/>
      <c r="T309" s="148"/>
      <c r="U309" s="148"/>
      <c r="V309" s="148"/>
      <c r="W309" s="148"/>
      <c r="X309" s="148"/>
      <c r="Y309" s="148"/>
      <c r="Z309" s="148"/>
      <c r="AA309" s="148"/>
      <c r="AB309" s="148"/>
      <c r="AC309" s="148"/>
      <c r="AD309" s="148"/>
      <c r="AE309" s="148"/>
      <c r="AF309" s="148"/>
      <c r="AG309" s="148"/>
      <c r="AH309" s="148"/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</row>
    <row r="310" spans="1:55" x14ac:dyDescent="0.2">
      <c r="A310" s="148"/>
      <c r="B310" s="148"/>
      <c r="C310" s="148"/>
      <c r="D310" s="148"/>
      <c r="E310" s="148"/>
      <c r="F310" s="148"/>
      <c r="G310" s="148"/>
      <c r="H310" s="148"/>
      <c r="I310" s="148"/>
      <c r="J310" s="148"/>
      <c r="K310" s="148"/>
      <c r="L310" s="148"/>
      <c r="M310" s="148"/>
      <c r="N310" s="148"/>
      <c r="O310" s="148"/>
      <c r="P310" s="148"/>
      <c r="Q310" s="148"/>
      <c r="R310" s="148"/>
      <c r="S310" s="148"/>
      <c r="T310" s="148"/>
      <c r="U310" s="148"/>
      <c r="V310" s="148"/>
      <c r="W310" s="148"/>
      <c r="X310" s="148"/>
      <c r="Y310" s="148"/>
      <c r="Z310" s="148"/>
      <c r="AA310" s="148"/>
      <c r="AB310" s="148"/>
      <c r="AC310" s="148"/>
      <c r="AD310" s="148"/>
      <c r="AE310" s="148"/>
      <c r="AF310" s="148"/>
      <c r="AG310" s="148"/>
      <c r="AH310" s="148"/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</row>
    <row r="311" spans="1:55" x14ac:dyDescent="0.2">
      <c r="A311" s="148"/>
      <c r="B311" s="148"/>
      <c r="C311" s="148"/>
      <c r="D311" s="148"/>
      <c r="E311" s="148"/>
      <c r="F311" s="148"/>
      <c r="G311" s="148"/>
      <c r="H311" s="148"/>
      <c r="I311" s="148"/>
      <c r="J311" s="148"/>
      <c r="K311" s="148"/>
      <c r="L311" s="148"/>
      <c r="M311" s="148"/>
      <c r="N311" s="148"/>
      <c r="O311" s="148"/>
      <c r="P311" s="148"/>
      <c r="Q311" s="148"/>
      <c r="R311" s="148"/>
      <c r="S311" s="148"/>
      <c r="T311" s="148"/>
      <c r="U311" s="148"/>
      <c r="V311" s="148"/>
      <c r="W311" s="148"/>
      <c r="X311" s="148"/>
      <c r="Y311" s="148"/>
      <c r="Z311" s="148"/>
      <c r="AA311" s="148"/>
      <c r="AB311" s="148"/>
      <c r="AC311" s="148"/>
      <c r="AD311" s="148"/>
      <c r="AE311" s="148"/>
      <c r="AF311" s="148"/>
      <c r="AG311" s="148"/>
      <c r="AH311" s="148"/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</row>
    <row r="312" spans="1:55" x14ac:dyDescent="0.2">
      <c r="A312" s="148"/>
      <c r="B312" s="148"/>
      <c r="C312" s="148"/>
      <c r="D312" s="148"/>
      <c r="E312" s="148"/>
      <c r="F312" s="148"/>
      <c r="G312" s="148"/>
      <c r="H312" s="148"/>
      <c r="I312" s="148"/>
      <c r="J312" s="148"/>
      <c r="K312" s="148"/>
      <c r="L312" s="148"/>
      <c r="M312" s="148"/>
      <c r="N312" s="148"/>
      <c r="O312" s="148"/>
      <c r="P312" s="148"/>
      <c r="Q312" s="148"/>
      <c r="R312" s="148"/>
      <c r="S312" s="148"/>
      <c r="T312" s="148"/>
      <c r="U312" s="148"/>
      <c r="V312" s="148"/>
      <c r="W312" s="14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/>
      <c r="AH312" s="148"/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</row>
    <row r="313" spans="1:55" x14ac:dyDescent="0.2">
      <c r="A313" s="148"/>
      <c r="B313" s="148"/>
      <c r="C313" s="148"/>
      <c r="D313" s="148"/>
      <c r="E313" s="148"/>
      <c r="F313" s="148"/>
      <c r="G313" s="148"/>
      <c r="H313" s="148"/>
      <c r="I313" s="148"/>
      <c r="J313" s="148"/>
      <c r="K313" s="148"/>
      <c r="L313" s="148"/>
      <c r="M313" s="148"/>
      <c r="N313" s="148"/>
      <c r="O313" s="148"/>
      <c r="P313" s="148"/>
      <c r="Q313" s="148"/>
      <c r="R313" s="148"/>
      <c r="S313" s="148"/>
      <c r="T313" s="148"/>
      <c r="U313" s="148"/>
      <c r="V313" s="148"/>
      <c r="W313" s="148"/>
      <c r="X313" s="148"/>
      <c r="Y313" s="148"/>
      <c r="Z313" s="148"/>
      <c r="AA313" s="148"/>
      <c r="AB313" s="148"/>
      <c r="AC313" s="148"/>
      <c r="AD313" s="148"/>
      <c r="AE313" s="148"/>
      <c r="AF313" s="148"/>
      <c r="AG313" s="148"/>
      <c r="AH313" s="148"/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</row>
    <row r="314" spans="1:55" x14ac:dyDescent="0.2">
      <c r="A314" s="148"/>
      <c r="B314" s="148"/>
      <c r="C314" s="148"/>
      <c r="D314" s="148"/>
      <c r="E314" s="148"/>
      <c r="F314" s="148"/>
      <c r="G314" s="148"/>
      <c r="H314" s="148"/>
      <c r="I314" s="148"/>
      <c r="J314" s="148"/>
      <c r="K314" s="148"/>
      <c r="L314" s="148"/>
      <c r="M314" s="148"/>
      <c r="N314" s="148"/>
      <c r="O314" s="148"/>
      <c r="P314" s="148"/>
      <c r="Q314" s="148"/>
      <c r="R314" s="148"/>
      <c r="S314" s="148"/>
      <c r="T314" s="148"/>
      <c r="U314" s="148"/>
      <c r="V314" s="148"/>
      <c r="W314" s="14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/>
      <c r="AH314" s="148"/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</row>
    <row r="315" spans="1:55" x14ac:dyDescent="0.2">
      <c r="A315" s="148"/>
      <c r="B315" s="148"/>
      <c r="C315" s="148"/>
      <c r="D315" s="148"/>
      <c r="E315" s="148"/>
      <c r="F315" s="148"/>
      <c r="G315" s="148"/>
      <c r="H315" s="148"/>
      <c r="I315" s="148"/>
      <c r="J315" s="148"/>
      <c r="K315" s="148"/>
      <c r="L315" s="148"/>
      <c r="M315" s="148"/>
      <c r="N315" s="148"/>
      <c r="O315" s="148"/>
      <c r="P315" s="148"/>
      <c r="Q315" s="148"/>
      <c r="R315" s="148"/>
      <c r="S315" s="148"/>
      <c r="T315" s="148"/>
      <c r="U315" s="148"/>
      <c r="V315" s="148"/>
      <c r="W315" s="14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/>
      <c r="AH315" s="148"/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</row>
    <row r="316" spans="1:55" x14ac:dyDescent="0.2">
      <c r="A316" s="148"/>
      <c r="B316" s="148"/>
      <c r="C316" s="148"/>
      <c r="D316" s="148"/>
      <c r="E316" s="148"/>
      <c r="F316" s="148"/>
      <c r="G316" s="148"/>
      <c r="H316" s="148"/>
      <c r="I316" s="148"/>
      <c r="J316" s="148"/>
      <c r="K316" s="148"/>
      <c r="L316" s="148"/>
      <c r="M316" s="148"/>
      <c r="N316" s="148"/>
      <c r="O316" s="148"/>
      <c r="P316" s="148"/>
      <c r="Q316" s="148"/>
      <c r="R316" s="148"/>
      <c r="S316" s="148"/>
      <c r="T316" s="148"/>
      <c r="U316" s="148"/>
      <c r="V316" s="148"/>
      <c r="W316" s="14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/>
      <c r="AH316" s="148"/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</row>
    <row r="317" spans="1:55" x14ac:dyDescent="0.2">
      <c r="A317" s="148"/>
      <c r="B317" s="148"/>
      <c r="C317" s="148"/>
      <c r="D317" s="148"/>
      <c r="E317" s="148"/>
      <c r="F317" s="148"/>
      <c r="G317" s="148"/>
      <c r="H317" s="148"/>
      <c r="I317" s="148"/>
      <c r="J317" s="148"/>
      <c r="K317" s="148"/>
      <c r="L317" s="148"/>
      <c r="M317" s="148"/>
      <c r="N317" s="148"/>
      <c r="O317" s="148"/>
      <c r="P317" s="148"/>
      <c r="Q317" s="148"/>
      <c r="R317" s="148"/>
      <c r="S317" s="148"/>
      <c r="T317" s="148"/>
      <c r="U317" s="148"/>
      <c r="V317" s="148"/>
      <c r="W317" s="14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/>
      <c r="AH317" s="148"/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</row>
    <row r="318" spans="1:55" x14ac:dyDescent="0.2">
      <c r="A318" s="148"/>
      <c r="B318" s="148"/>
      <c r="C318" s="148"/>
      <c r="D318" s="148"/>
      <c r="E318" s="148"/>
      <c r="F318" s="148"/>
      <c r="G318" s="148"/>
      <c r="H318" s="148"/>
      <c r="I318" s="148"/>
      <c r="J318" s="148"/>
      <c r="K318" s="148"/>
      <c r="L318" s="148"/>
      <c r="M318" s="148"/>
      <c r="N318" s="148"/>
      <c r="O318" s="148"/>
      <c r="P318" s="148"/>
      <c r="Q318" s="148"/>
      <c r="R318" s="148"/>
      <c r="S318" s="148"/>
      <c r="T318" s="148"/>
      <c r="U318" s="148"/>
      <c r="V318" s="148"/>
      <c r="W318" s="14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/>
      <c r="AH318" s="148"/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</row>
    <row r="319" spans="1:55" x14ac:dyDescent="0.2">
      <c r="A319" s="148"/>
      <c r="B319" s="148"/>
      <c r="C319" s="148"/>
      <c r="D319" s="148"/>
      <c r="E319" s="148"/>
      <c r="F319" s="148"/>
      <c r="G319" s="148"/>
      <c r="H319" s="148"/>
      <c r="I319" s="148"/>
      <c r="J319" s="148"/>
      <c r="K319" s="148"/>
      <c r="L319" s="148"/>
      <c r="M319" s="148"/>
      <c r="N319" s="148"/>
      <c r="O319" s="148"/>
      <c r="P319" s="148"/>
      <c r="Q319" s="148"/>
      <c r="R319" s="148"/>
      <c r="S319" s="148"/>
      <c r="T319" s="148"/>
      <c r="U319" s="148"/>
      <c r="V319" s="148"/>
      <c r="W319" s="148"/>
      <c r="X319" s="148"/>
      <c r="Y319" s="148"/>
      <c r="Z319" s="148"/>
      <c r="AA319" s="148"/>
      <c r="AB319" s="148"/>
      <c r="AC319" s="148"/>
      <c r="AD319" s="148"/>
      <c r="AE319" s="148"/>
      <c r="AF319" s="148"/>
      <c r="AG319" s="148"/>
      <c r="AH319" s="148"/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</row>
    <row r="320" spans="1:55" x14ac:dyDescent="0.2">
      <c r="A320" s="148"/>
      <c r="B320" s="148"/>
      <c r="C320" s="148"/>
      <c r="D320" s="148"/>
      <c r="E320" s="148"/>
      <c r="F320" s="148"/>
      <c r="G320" s="148"/>
      <c r="H320" s="148"/>
      <c r="I320" s="148"/>
      <c r="J320" s="148"/>
      <c r="K320" s="148"/>
      <c r="L320" s="148"/>
      <c r="M320" s="148"/>
      <c r="N320" s="148"/>
      <c r="O320" s="148"/>
      <c r="P320" s="148"/>
      <c r="Q320" s="148"/>
      <c r="R320" s="148"/>
      <c r="S320" s="148"/>
      <c r="T320" s="148"/>
      <c r="U320" s="148"/>
      <c r="V320" s="148"/>
      <c r="W320" s="14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/>
      <c r="AH320" s="148"/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</row>
    <row r="321" spans="1:55" x14ac:dyDescent="0.2">
      <c r="A321" s="148"/>
      <c r="B321" s="148"/>
      <c r="C321" s="148"/>
      <c r="D321" s="148"/>
      <c r="E321" s="148"/>
      <c r="F321" s="148"/>
      <c r="G321" s="148"/>
      <c r="H321" s="148"/>
      <c r="I321" s="148"/>
      <c r="J321" s="148"/>
      <c r="K321" s="148"/>
      <c r="L321" s="148"/>
      <c r="M321" s="148"/>
      <c r="N321" s="148"/>
      <c r="O321" s="148"/>
      <c r="P321" s="148"/>
      <c r="Q321" s="148"/>
      <c r="R321" s="148"/>
      <c r="S321" s="148"/>
      <c r="T321" s="148"/>
      <c r="U321" s="148"/>
      <c r="V321" s="148"/>
      <c r="W321" s="148"/>
      <c r="X321" s="148"/>
      <c r="Y321" s="148"/>
      <c r="Z321" s="148"/>
      <c r="AA321" s="148"/>
      <c r="AB321" s="148"/>
      <c r="AC321" s="148"/>
      <c r="AD321" s="148"/>
      <c r="AE321" s="148"/>
      <c r="AF321" s="148"/>
      <c r="AG321" s="148"/>
      <c r="AH321" s="148"/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</row>
    <row r="322" spans="1:55" x14ac:dyDescent="0.2">
      <c r="A322" s="148"/>
      <c r="B322" s="148"/>
      <c r="C322" s="148"/>
      <c r="D322" s="148"/>
      <c r="E322" s="148"/>
      <c r="F322" s="148"/>
      <c r="G322" s="148"/>
      <c r="H322" s="148"/>
      <c r="I322" s="148"/>
      <c r="J322" s="148"/>
      <c r="K322" s="148"/>
      <c r="L322" s="148"/>
      <c r="M322" s="148"/>
      <c r="N322" s="148"/>
      <c r="O322" s="148"/>
      <c r="P322" s="148"/>
      <c r="Q322" s="148"/>
      <c r="R322" s="148"/>
      <c r="S322" s="148"/>
      <c r="T322" s="148"/>
      <c r="U322" s="148"/>
      <c r="V322" s="148"/>
      <c r="W322" s="148"/>
      <c r="X322" s="148"/>
      <c r="Y322" s="148"/>
      <c r="Z322" s="148"/>
      <c r="AA322" s="148"/>
      <c r="AB322" s="148"/>
      <c r="AC322" s="148"/>
      <c r="AD322" s="148"/>
      <c r="AE322" s="148"/>
      <c r="AF322" s="148"/>
      <c r="AG322" s="148"/>
      <c r="AH322" s="148"/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</row>
    <row r="323" spans="1:55" x14ac:dyDescent="0.2">
      <c r="A323" s="148"/>
      <c r="B323" s="148"/>
      <c r="C323" s="148"/>
      <c r="D323" s="148"/>
      <c r="E323" s="148"/>
      <c r="F323" s="148"/>
      <c r="G323" s="148"/>
      <c r="H323" s="148"/>
      <c r="I323" s="148"/>
      <c r="J323" s="148"/>
      <c r="K323" s="148"/>
      <c r="L323" s="148"/>
      <c r="M323" s="148"/>
      <c r="N323" s="148"/>
      <c r="O323" s="148"/>
      <c r="P323" s="148"/>
      <c r="Q323" s="148"/>
      <c r="R323" s="148"/>
      <c r="S323" s="148"/>
      <c r="T323" s="148"/>
      <c r="U323" s="148"/>
      <c r="V323" s="148"/>
      <c r="W323" s="14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/>
      <c r="AH323" s="148"/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</row>
    <row r="324" spans="1:55" x14ac:dyDescent="0.2">
      <c r="A324" s="148"/>
      <c r="B324" s="148"/>
      <c r="C324" s="148"/>
      <c r="D324" s="148"/>
      <c r="E324" s="148"/>
      <c r="F324" s="148"/>
      <c r="G324" s="148"/>
      <c r="H324" s="148"/>
      <c r="I324" s="148"/>
      <c r="J324" s="148"/>
      <c r="K324" s="148"/>
      <c r="L324" s="148"/>
      <c r="M324" s="148"/>
      <c r="N324" s="148"/>
      <c r="O324" s="148"/>
      <c r="P324" s="148"/>
      <c r="Q324" s="148"/>
      <c r="R324" s="148"/>
      <c r="S324" s="148"/>
      <c r="T324" s="148"/>
      <c r="U324" s="148"/>
      <c r="V324" s="148"/>
      <c r="W324" s="148"/>
      <c r="X324" s="148"/>
      <c r="Y324" s="148"/>
      <c r="Z324" s="148"/>
      <c r="AA324" s="148"/>
      <c r="AB324" s="148"/>
      <c r="AC324" s="148"/>
      <c r="AD324" s="148"/>
      <c r="AE324" s="148"/>
      <c r="AF324" s="148"/>
      <c r="AG324" s="148"/>
      <c r="AH324" s="148"/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</row>
    <row r="325" spans="1:55" x14ac:dyDescent="0.2">
      <c r="A325" s="148"/>
      <c r="B325" s="148"/>
      <c r="C325" s="148"/>
      <c r="D325" s="148"/>
      <c r="E325" s="148"/>
      <c r="F325" s="148"/>
      <c r="G325" s="148"/>
      <c r="H325" s="148"/>
      <c r="I325" s="148"/>
      <c r="J325" s="148"/>
      <c r="K325" s="148"/>
      <c r="L325" s="148"/>
      <c r="M325" s="148"/>
      <c r="N325" s="148"/>
      <c r="O325" s="148"/>
      <c r="P325" s="148"/>
      <c r="Q325" s="148"/>
      <c r="R325" s="148"/>
      <c r="S325" s="148"/>
      <c r="T325" s="148"/>
      <c r="U325" s="148"/>
      <c r="V325" s="148"/>
      <c r="W325" s="148"/>
      <c r="X325" s="148"/>
      <c r="Y325" s="148"/>
      <c r="Z325" s="148"/>
      <c r="AA325" s="148"/>
      <c r="AB325" s="148"/>
      <c r="AC325" s="148"/>
      <c r="AD325" s="148"/>
      <c r="AE325" s="148"/>
      <c r="AF325" s="148"/>
      <c r="AG325" s="148"/>
      <c r="AH325" s="148"/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</row>
    <row r="326" spans="1:55" x14ac:dyDescent="0.2">
      <c r="A326" s="148"/>
      <c r="B326" s="148"/>
      <c r="C326" s="148"/>
      <c r="D326" s="148"/>
      <c r="E326" s="148"/>
      <c r="F326" s="148"/>
      <c r="G326" s="148"/>
      <c r="H326" s="148"/>
      <c r="I326" s="148"/>
      <c r="J326" s="148"/>
      <c r="K326" s="148"/>
      <c r="L326" s="148"/>
      <c r="M326" s="148"/>
      <c r="N326" s="148"/>
      <c r="O326" s="148"/>
      <c r="P326" s="148"/>
      <c r="Q326" s="148"/>
      <c r="R326" s="148"/>
      <c r="S326" s="148"/>
      <c r="T326" s="148"/>
      <c r="U326" s="148"/>
      <c r="V326" s="148"/>
      <c r="W326" s="148"/>
      <c r="X326" s="148"/>
      <c r="Y326" s="148"/>
      <c r="Z326" s="148"/>
      <c r="AA326" s="148"/>
      <c r="AB326" s="148"/>
      <c r="AC326" s="148"/>
      <c r="AD326" s="148"/>
      <c r="AE326" s="148"/>
      <c r="AF326" s="148"/>
      <c r="AG326" s="148"/>
      <c r="AH326" s="148"/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</row>
    <row r="327" spans="1:55" x14ac:dyDescent="0.2">
      <c r="A327" s="148"/>
      <c r="B327" s="148"/>
      <c r="C327" s="148"/>
      <c r="D327" s="148"/>
      <c r="E327" s="148"/>
      <c r="F327" s="148"/>
      <c r="G327" s="148"/>
      <c r="H327" s="148"/>
      <c r="I327" s="148"/>
      <c r="J327" s="148"/>
      <c r="K327" s="148"/>
      <c r="L327" s="148"/>
      <c r="M327" s="148"/>
      <c r="N327" s="148"/>
      <c r="O327" s="148"/>
      <c r="P327" s="148"/>
      <c r="Q327" s="148"/>
      <c r="R327" s="148"/>
      <c r="S327" s="148"/>
      <c r="T327" s="148"/>
      <c r="U327" s="148"/>
      <c r="V327" s="148"/>
      <c r="W327" s="148"/>
      <c r="X327" s="148"/>
      <c r="Y327" s="148"/>
      <c r="Z327" s="148"/>
      <c r="AA327" s="148"/>
      <c r="AB327" s="148"/>
      <c r="AC327" s="148"/>
      <c r="AD327" s="148"/>
      <c r="AE327" s="148"/>
      <c r="AF327" s="148"/>
      <c r="AG327" s="148"/>
      <c r="AH327" s="148"/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</row>
    <row r="328" spans="1:55" x14ac:dyDescent="0.2">
      <c r="A328" s="148"/>
      <c r="B328" s="148"/>
      <c r="C328" s="148"/>
      <c r="D328" s="148"/>
      <c r="E328" s="148"/>
      <c r="F328" s="148"/>
      <c r="G328" s="148"/>
      <c r="H328" s="148"/>
      <c r="I328" s="148"/>
      <c r="J328" s="148"/>
      <c r="K328" s="148"/>
      <c r="L328" s="148"/>
      <c r="M328" s="148"/>
      <c r="N328" s="148"/>
      <c r="O328" s="148"/>
      <c r="P328" s="148"/>
      <c r="Q328" s="148"/>
      <c r="R328" s="148"/>
      <c r="S328" s="148"/>
      <c r="T328" s="148"/>
      <c r="U328" s="148"/>
      <c r="V328" s="148"/>
      <c r="W328" s="148"/>
      <c r="X328" s="148"/>
      <c r="Y328" s="148"/>
      <c r="Z328" s="148"/>
      <c r="AA328" s="148"/>
      <c r="AB328" s="148"/>
      <c r="AC328" s="148"/>
      <c r="AD328" s="148"/>
      <c r="AE328" s="148"/>
      <c r="AF328" s="148"/>
      <c r="AG328" s="148"/>
      <c r="AH328" s="148"/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</row>
    <row r="329" spans="1:55" x14ac:dyDescent="0.2">
      <c r="A329" s="148"/>
      <c r="B329" s="148"/>
      <c r="C329" s="148"/>
      <c r="D329" s="148"/>
      <c r="E329" s="148"/>
      <c r="F329" s="148"/>
      <c r="G329" s="148"/>
      <c r="H329" s="148"/>
      <c r="I329" s="148"/>
      <c r="J329" s="148"/>
      <c r="K329" s="148"/>
      <c r="L329" s="148"/>
      <c r="M329" s="148"/>
      <c r="N329" s="148"/>
      <c r="O329" s="148"/>
      <c r="P329" s="148"/>
      <c r="Q329" s="148"/>
      <c r="R329" s="148"/>
      <c r="S329" s="148"/>
      <c r="T329" s="148"/>
      <c r="U329" s="148"/>
      <c r="V329" s="148"/>
      <c r="W329" s="148"/>
      <c r="X329" s="148"/>
      <c r="Y329" s="148"/>
      <c r="Z329" s="148"/>
      <c r="AA329" s="148"/>
      <c r="AB329" s="148"/>
      <c r="AC329" s="148"/>
      <c r="AD329" s="148"/>
      <c r="AE329" s="148"/>
      <c r="AF329" s="148"/>
      <c r="AG329" s="148"/>
      <c r="AH329" s="148"/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</row>
    <row r="330" spans="1:55" x14ac:dyDescent="0.2">
      <c r="A330" s="148"/>
      <c r="B330" s="148"/>
      <c r="C330" s="148"/>
      <c r="D330" s="148"/>
      <c r="E330" s="148"/>
      <c r="F330" s="148"/>
      <c r="G330" s="148"/>
      <c r="H330" s="148"/>
      <c r="I330" s="148"/>
      <c r="J330" s="148"/>
      <c r="K330" s="148"/>
      <c r="L330" s="148"/>
      <c r="M330" s="148"/>
      <c r="N330" s="148"/>
      <c r="O330" s="148"/>
      <c r="P330" s="148"/>
      <c r="Q330" s="148"/>
      <c r="R330" s="148"/>
      <c r="S330" s="148"/>
      <c r="T330" s="148"/>
      <c r="U330" s="148"/>
      <c r="V330" s="148"/>
      <c r="W330" s="148"/>
      <c r="X330" s="148"/>
      <c r="Y330" s="148"/>
      <c r="Z330" s="148"/>
      <c r="AA330" s="148"/>
      <c r="AB330" s="148"/>
      <c r="AC330" s="148"/>
      <c r="AD330" s="148"/>
      <c r="AE330" s="148"/>
      <c r="AF330" s="148"/>
      <c r="AG330" s="148"/>
      <c r="AH330" s="148"/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</row>
    <row r="331" spans="1:55" x14ac:dyDescent="0.2">
      <c r="A331" s="148"/>
      <c r="B331" s="148"/>
      <c r="C331" s="148"/>
      <c r="D331" s="148"/>
      <c r="E331" s="148"/>
      <c r="F331" s="148"/>
      <c r="G331" s="148"/>
      <c r="H331" s="148"/>
      <c r="I331" s="148"/>
      <c r="J331" s="148"/>
      <c r="K331" s="148"/>
      <c r="L331" s="148"/>
      <c r="M331" s="148"/>
      <c r="N331" s="148"/>
      <c r="O331" s="148"/>
      <c r="P331" s="148"/>
      <c r="Q331" s="148"/>
      <c r="R331" s="148"/>
      <c r="S331" s="148"/>
      <c r="T331" s="148"/>
      <c r="U331" s="148"/>
      <c r="V331" s="148"/>
      <c r="W331" s="148"/>
      <c r="X331" s="148"/>
      <c r="Y331" s="148"/>
      <c r="Z331" s="148"/>
      <c r="AA331" s="148"/>
      <c r="AB331" s="148"/>
      <c r="AC331" s="148"/>
      <c r="AD331" s="148"/>
      <c r="AE331" s="148"/>
      <c r="AF331" s="148"/>
      <c r="AG331" s="148"/>
      <c r="AH331" s="148"/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</row>
    <row r="332" spans="1:55" x14ac:dyDescent="0.2">
      <c r="A332" s="148"/>
      <c r="B332" s="148"/>
      <c r="C332" s="148"/>
      <c r="D332" s="148"/>
      <c r="E332" s="148"/>
      <c r="F332" s="148"/>
      <c r="G332" s="148"/>
      <c r="H332" s="148"/>
      <c r="I332" s="148"/>
      <c r="J332" s="148"/>
      <c r="K332" s="148"/>
      <c r="L332" s="148"/>
      <c r="M332" s="148"/>
      <c r="N332" s="148"/>
      <c r="O332" s="148"/>
      <c r="P332" s="148"/>
      <c r="Q332" s="148"/>
      <c r="R332" s="148"/>
      <c r="S332" s="148"/>
      <c r="T332" s="148"/>
      <c r="U332" s="148"/>
      <c r="V332" s="148"/>
      <c r="W332" s="148"/>
      <c r="X332" s="148"/>
      <c r="Y332" s="148"/>
      <c r="Z332" s="148"/>
      <c r="AA332" s="148"/>
      <c r="AB332" s="148"/>
      <c r="AC332" s="148"/>
      <c r="AD332" s="148"/>
      <c r="AE332" s="148"/>
      <c r="AF332" s="148"/>
      <c r="AG332" s="148"/>
      <c r="AH332" s="148"/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</row>
    <row r="333" spans="1:55" x14ac:dyDescent="0.2">
      <c r="A333" s="148"/>
      <c r="B333" s="148"/>
      <c r="C333" s="148"/>
      <c r="D333" s="148"/>
      <c r="E333" s="148"/>
      <c r="F333" s="148"/>
      <c r="G333" s="148"/>
      <c r="H333" s="148"/>
      <c r="I333" s="148"/>
      <c r="J333" s="148"/>
      <c r="K333" s="148"/>
      <c r="L333" s="148"/>
      <c r="M333" s="148"/>
      <c r="N333" s="148"/>
      <c r="O333" s="148"/>
      <c r="P333" s="148"/>
      <c r="Q333" s="148"/>
      <c r="R333" s="148"/>
      <c r="S333" s="148"/>
      <c r="T333" s="148"/>
      <c r="U333" s="148"/>
      <c r="V333" s="148"/>
      <c r="W333" s="148"/>
      <c r="X333" s="148"/>
      <c r="Y333" s="148"/>
      <c r="Z333" s="148"/>
      <c r="AA333" s="148"/>
      <c r="AB333" s="148"/>
      <c r="AC333" s="148"/>
      <c r="AD333" s="148"/>
      <c r="AE333" s="148"/>
      <c r="AF333" s="148"/>
      <c r="AG333" s="148"/>
      <c r="AH333" s="148"/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</row>
    <row r="334" spans="1:55" x14ac:dyDescent="0.2">
      <c r="A334" s="148"/>
      <c r="B334" s="148"/>
      <c r="C334" s="148"/>
      <c r="D334" s="148"/>
      <c r="E334" s="148"/>
      <c r="F334" s="148"/>
      <c r="G334" s="148"/>
      <c r="H334" s="148"/>
      <c r="I334" s="148"/>
      <c r="J334" s="148"/>
      <c r="K334" s="148"/>
      <c r="L334" s="148"/>
      <c r="M334" s="148"/>
      <c r="N334" s="148"/>
      <c r="O334" s="148"/>
      <c r="P334" s="148"/>
      <c r="Q334" s="148"/>
      <c r="R334" s="148"/>
      <c r="S334" s="148"/>
      <c r="T334" s="148"/>
      <c r="U334" s="148"/>
      <c r="V334" s="148"/>
      <c r="W334" s="14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/>
      <c r="AH334" s="148"/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</row>
    <row r="335" spans="1:55" x14ac:dyDescent="0.2">
      <c r="A335" s="148"/>
      <c r="B335" s="148"/>
      <c r="C335" s="148"/>
      <c r="D335" s="148"/>
      <c r="E335" s="148"/>
      <c r="F335" s="148"/>
      <c r="G335" s="148"/>
      <c r="H335" s="148"/>
      <c r="I335" s="148"/>
      <c r="J335" s="148"/>
      <c r="K335" s="148"/>
      <c r="L335" s="148"/>
      <c r="M335" s="148"/>
      <c r="N335" s="148"/>
      <c r="O335" s="148"/>
      <c r="P335" s="148"/>
      <c r="Q335" s="148"/>
      <c r="R335" s="148"/>
      <c r="S335" s="148"/>
      <c r="T335" s="148"/>
      <c r="U335" s="148"/>
      <c r="V335" s="148"/>
      <c r="W335" s="14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/>
      <c r="AH335" s="148"/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</row>
    <row r="336" spans="1:55" x14ac:dyDescent="0.2">
      <c r="A336" s="148"/>
      <c r="B336" s="148"/>
      <c r="C336" s="148"/>
      <c r="D336" s="148"/>
      <c r="E336" s="148"/>
      <c r="F336" s="148"/>
      <c r="G336" s="148"/>
      <c r="H336" s="148"/>
      <c r="I336" s="148"/>
      <c r="J336" s="148"/>
      <c r="K336" s="148"/>
      <c r="L336" s="148"/>
      <c r="M336" s="148"/>
      <c r="N336" s="148"/>
      <c r="O336" s="148"/>
      <c r="P336" s="148"/>
      <c r="Q336" s="148"/>
      <c r="R336" s="148"/>
      <c r="S336" s="148"/>
      <c r="T336" s="148"/>
      <c r="U336" s="148"/>
      <c r="V336" s="148"/>
      <c r="W336" s="148"/>
      <c r="X336" s="148"/>
      <c r="Y336" s="148"/>
      <c r="Z336" s="148"/>
      <c r="AA336" s="148"/>
      <c r="AB336" s="148"/>
      <c r="AC336" s="148"/>
      <c r="AD336" s="148"/>
      <c r="AE336" s="148"/>
      <c r="AF336" s="148"/>
      <c r="AG336" s="148"/>
      <c r="AH336" s="148"/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</row>
    <row r="337" spans="1:55" x14ac:dyDescent="0.2">
      <c r="A337" s="148"/>
      <c r="B337" s="148"/>
      <c r="C337" s="148"/>
      <c r="D337" s="148"/>
      <c r="E337" s="148"/>
      <c r="F337" s="148"/>
      <c r="G337" s="148"/>
      <c r="H337" s="148"/>
      <c r="I337" s="148"/>
      <c r="J337" s="148"/>
      <c r="K337" s="148"/>
      <c r="L337" s="148"/>
      <c r="M337" s="148"/>
      <c r="N337" s="148"/>
      <c r="O337" s="148"/>
      <c r="P337" s="148"/>
      <c r="Q337" s="148"/>
      <c r="R337" s="148"/>
      <c r="S337" s="148"/>
      <c r="T337" s="148"/>
      <c r="U337" s="148"/>
      <c r="V337" s="148"/>
      <c r="W337" s="148"/>
      <c r="X337" s="148"/>
      <c r="Y337" s="148"/>
      <c r="Z337" s="148"/>
      <c r="AA337" s="148"/>
      <c r="AB337" s="148"/>
      <c r="AC337" s="148"/>
      <c r="AD337" s="148"/>
      <c r="AE337" s="148"/>
      <c r="AF337" s="148"/>
      <c r="AG337" s="148"/>
      <c r="AH337" s="148"/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</row>
    <row r="338" spans="1:55" x14ac:dyDescent="0.2">
      <c r="A338" s="148"/>
      <c r="B338" s="148"/>
      <c r="C338" s="148"/>
      <c r="D338" s="148"/>
      <c r="E338" s="148"/>
      <c r="F338" s="148"/>
      <c r="G338" s="148"/>
      <c r="H338" s="148"/>
      <c r="I338" s="148"/>
      <c r="J338" s="148"/>
      <c r="K338" s="148"/>
      <c r="L338" s="148"/>
      <c r="M338" s="148"/>
      <c r="N338" s="148"/>
      <c r="O338" s="148"/>
      <c r="P338" s="148"/>
      <c r="Q338" s="148"/>
      <c r="R338" s="148"/>
      <c r="S338" s="148"/>
      <c r="T338" s="148"/>
      <c r="U338" s="148"/>
      <c r="V338" s="148"/>
      <c r="W338" s="14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/>
      <c r="AH338" s="148"/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</row>
    <row r="339" spans="1:55" x14ac:dyDescent="0.2">
      <c r="A339" s="148"/>
      <c r="B339" s="148"/>
      <c r="C339" s="148"/>
      <c r="D339" s="148"/>
      <c r="E339" s="148"/>
      <c r="F339" s="148"/>
      <c r="G339" s="148"/>
      <c r="H339" s="148"/>
      <c r="I339" s="148"/>
      <c r="J339" s="148"/>
      <c r="K339" s="148"/>
      <c r="L339" s="148"/>
      <c r="M339" s="148"/>
      <c r="N339" s="148"/>
      <c r="O339" s="148"/>
      <c r="P339" s="148"/>
      <c r="Q339" s="148"/>
      <c r="R339" s="148"/>
      <c r="S339" s="148"/>
      <c r="T339" s="148"/>
      <c r="U339" s="148"/>
      <c r="V339" s="148"/>
      <c r="W339" s="148"/>
      <c r="X339" s="148"/>
      <c r="Y339" s="148"/>
      <c r="Z339" s="148"/>
      <c r="AA339" s="148"/>
      <c r="AB339" s="148"/>
      <c r="AC339" s="148"/>
      <c r="AD339" s="148"/>
      <c r="AE339" s="148"/>
      <c r="AF339" s="148"/>
      <c r="AG339" s="148"/>
      <c r="AH339" s="148"/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</row>
    <row r="340" spans="1:55" x14ac:dyDescent="0.2">
      <c r="A340" s="148"/>
      <c r="B340" s="148"/>
      <c r="C340" s="148"/>
      <c r="D340" s="148"/>
      <c r="E340" s="148"/>
      <c r="F340" s="148"/>
      <c r="G340" s="148"/>
      <c r="H340" s="148"/>
      <c r="I340" s="148"/>
      <c r="J340" s="148"/>
      <c r="K340" s="148"/>
      <c r="L340" s="148"/>
      <c r="M340" s="148"/>
      <c r="N340" s="148"/>
      <c r="O340" s="148"/>
      <c r="P340" s="148"/>
      <c r="Q340" s="148"/>
      <c r="R340" s="148"/>
      <c r="S340" s="148"/>
      <c r="T340" s="148"/>
      <c r="U340" s="148"/>
      <c r="V340" s="148"/>
      <c r="W340" s="148"/>
      <c r="X340" s="148"/>
      <c r="Y340" s="148"/>
      <c r="Z340" s="148"/>
      <c r="AA340" s="148"/>
      <c r="AB340" s="148"/>
      <c r="AC340" s="148"/>
      <c r="AD340" s="148"/>
      <c r="AE340" s="148"/>
      <c r="AF340" s="148"/>
      <c r="AG340" s="148"/>
      <c r="AH340" s="148"/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</row>
    <row r="341" spans="1:55" x14ac:dyDescent="0.2">
      <c r="A341" s="148"/>
      <c r="B341" s="148"/>
      <c r="C341" s="148"/>
      <c r="D341" s="148"/>
      <c r="E341" s="148"/>
      <c r="F341" s="148"/>
      <c r="G341" s="148"/>
      <c r="H341" s="148"/>
      <c r="I341" s="148"/>
      <c r="J341" s="148"/>
      <c r="K341" s="148"/>
      <c r="L341" s="148"/>
      <c r="M341" s="148"/>
      <c r="N341" s="148"/>
      <c r="O341" s="148"/>
      <c r="P341" s="148"/>
      <c r="Q341" s="148"/>
      <c r="R341" s="148"/>
      <c r="S341" s="148"/>
      <c r="T341" s="148"/>
      <c r="U341" s="148"/>
      <c r="V341" s="148"/>
      <c r="W341" s="14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/>
      <c r="AH341" s="148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</row>
    <row r="342" spans="1:55" x14ac:dyDescent="0.2">
      <c r="A342" s="148"/>
      <c r="B342" s="148"/>
      <c r="C342" s="14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  <c r="V342" s="148"/>
      <c r="W342" s="14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/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</row>
    <row r="343" spans="1:55" x14ac:dyDescent="0.2">
      <c r="A343" s="148"/>
      <c r="B343" s="148"/>
      <c r="C343" s="148"/>
      <c r="D343" s="148"/>
      <c r="E343" s="148"/>
      <c r="F343" s="148"/>
      <c r="G343" s="148"/>
      <c r="H343" s="148"/>
      <c r="I343" s="148"/>
      <c r="J343" s="148"/>
      <c r="K343" s="148"/>
      <c r="L343" s="148"/>
      <c r="M343" s="148"/>
      <c r="N343" s="148"/>
      <c r="O343" s="148"/>
      <c r="P343" s="148"/>
      <c r="Q343" s="148"/>
      <c r="R343" s="148"/>
      <c r="S343" s="148"/>
      <c r="T343" s="148"/>
      <c r="U343" s="148"/>
      <c r="V343" s="148"/>
      <c r="W343" s="148"/>
      <c r="X343" s="148"/>
      <c r="Y343" s="148"/>
      <c r="Z343" s="148"/>
      <c r="AA343" s="148"/>
      <c r="AB343" s="148"/>
      <c r="AC343" s="148"/>
      <c r="AD343" s="148"/>
      <c r="AE343" s="148"/>
      <c r="AF343" s="148"/>
      <c r="AG343" s="148"/>
      <c r="AH343" s="148"/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</row>
    <row r="344" spans="1:55" x14ac:dyDescent="0.2">
      <c r="A344" s="148"/>
      <c r="B344" s="148"/>
      <c r="C344" s="148"/>
      <c r="D344" s="148"/>
      <c r="E344" s="148"/>
      <c r="F344" s="148"/>
      <c r="G344" s="148"/>
      <c r="H344" s="148"/>
      <c r="I344" s="148"/>
      <c r="J344" s="148"/>
      <c r="K344" s="148"/>
      <c r="L344" s="148"/>
      <c r="M344" s="148"/>
      <c r="N344" s="148"/>
      <c r="O344" s="148"/>
      <c r="P344" s="148"/>
      <c r="Q344" s="148"/>
      <c r="R344" s="148"/>
      <c r="S344" s="148"/>
      <c r="T344" s="148"/>
      <c r="U344" s="148"/>
      <c r="V344" s="148"/>
      <c r="W344" s="148"/>
      <c r="X344" s="148"/>
      <c r="Y344" s="148"/>
      <c r="Z344" s="148"/>
      <c r="AA344" s="148"/>
      <c r="AB344" s="148"/>
      <c r="AC344" s="148"/>
      <c r="AD344" s="148"/>
      <c r="AE344" s="148"/>
      <c r="AF344" s="148"/>
      <c r="AG344" s="148"/>
      <c r="AH344" s="148"/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</row>
    <row r="345" spans="1:55" x14ac:dyDescent="0.2">
      <c r="A345" s="148"/>
      <c r="B345" s="148"/>
      <c r="C345" s="148"/>
      <c r="D345" s="148"/>
      <c r="E345" s="148"/>
      <c r="F345" s="148"/>
      <c r="G345" s="148"/>
      <c r="H345" s="148"/>
      <c r="I345" s="148"/>
      <c r="J345" s="148"/>
      <c r="K345" s="148"/>
      <c r="L345" s="148"/>
      <c r="M345" s="148"/>
      <c r="N345" s="148"/>
      <c r="O345" s="148"/>
      <c r="P345" s="148"/>
      <c r="Q345" s="148"/>
      <c r="R345" s="148"/>
      <c r="S345" s="148"/>
      <c r="T345" s="148"/>
      <c r="U345" s="148"/>
      <c r="V345" s="148"/>
      <c r="W345" s="148"/>
      <c r="X345" s="148"/>
      <c r="Y345" s="148"/>
      <c r="Z345" s="148"/>
      <c r="AA345" s="148"/>
      <c r="AB345" s="148"/>
      <c r="AC345" s="148"/>
      <c r="AD345" s="148"/>
      <c r="AE345" s="148"/>
      <c r="AF345" s="148"/>
      <c r="AG345" s="148"/>
      <c r="AH345" s="148"/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</row>
    <row r="346" spans="1:55" x14ac:dyDescent="0.2">
      <c r="A346" s="148"/>
      <c r="B346" s="148"/>
      <c r="C346" s="148"/>
      <c r="D346" s="148"/>
      <c r="E346" s="148"/>
      <c r="F346" s="148"/>
      <c r="G346" s="148"/>
      <c r="H346" s="148"/>
      <c r="I346" s="148"/>
      <c r="J346" s="148"/>
      <c r="K346" s="148"/>
      <c r="L346" s="148"/>
      <c r="M346" s="148"/>
      <c r="N346" s="148"/>
      <c r="O346" s="148"/>
      <c r="P346" s="148"/>
      <c r="Q346" s="148"/>
      <c r="R346" s="148"/>
      <c r="S346" s="148"/>
      <c r="T346" s="148"/>
      <c r="U346" s="148"/>
      <c r="V346" s="148"/>
      <c r="W346" s="148"/>
      <c r="X346" s="148"/>
      <c r="Y346" s="148"/>
      <c r="Z346" s="148"/>
      <c r="AA346" s="148"/>
      <c r="AB346" s="148"/>
      <c r="AC346" s="148"/>
      <c r="AD346" s="148"/>
      <c r="AE346" s="148"/>
      <c r="AF346" s="148"/>
      <c r="AG346" s="148"/>
      <c r="AH346" s="148"/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</row>
    <row r="347" spans="1:55" x14ac:dyDescent="0.2">
      <c r="A347" s="148"/>
      <c r="B347" s="148"/>
      <c r="C347" s="148"/>
      <c r="D347" s="148"/>
      <c r="E347" s="148"/>
      <c r="F347" s="148"/>
      <c r="G347" s="148"/>
      <c r="H347" s="148"/>
      <c r="I347" s="148"/>
      <c r="J347" s="148"/>
      <c r="K347" s="148"/>
      <c r="L347" s="148"/>
      <c r="M347" s="148"/>
      <c r="N347" s="148"/>
      <c r="O347" s="148"/>
      <c r="P347" s="148"/>
      <c r="Q347" s="148"/>
      <c r="R347" s="148"/>
      <c r="S347" s="148"/>
      <c r="T347" s="148"/>
      <c r="U347" s="148"/>
      <c r="V347" s="148"/>
      <c r="W347" s="148"/>
      <c r="X347" s="148"/>
      <c r="Y347" s="148"/>
      <c r="Z347" s="148"/>
      <c r="AA347" s="148"/>
      <c r="AB347" s="148"/>
      <c r="AC347" s="148"/>
      <c r="AD347" s="148"/>
      <c r="AE347" s="148"/>
      <c r="AF347" s="148"/>
      <c r="AG347" s="148"/>
      <c r="AH347" s="148"/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</row>
    <row r="348" spans="1:55" x14ac:dyDescent="0.2">
      <c r="A348" s="148"/>
      <c r="B348" s="148"/>
      <c r="C348" s="148"/>
      <c r="D348" s="148"/>
      <c r="E348" s="148"/>
      <c r="F348" s="148"/>
      <c r="G348" s="148"/>
      <c r="H348" s="148"/>
      <c r="I348" s="148"/>
      <c r="J348" s="148"/>
      <c r="K348" s="148"/>
      <c r="L348" s="148"/>
      <c r="M348" s="148"/>
      <c r="N348" s="148"/>
      <c r="O348" s="148"/>
      <c r="P348" s="148"/>
      <c r="Q348" s="148"/>
      <c r="R348" s="148"/>
      <c r="S348" s="148"/>
      <c r="T348" s="148"/>
      <c r="U348" s="148"/>
      <c r="V348" s="148"/>
      <c r="W348" s="148"/>
      <c r="X348" s="148"/>
      <c r="Y348" s="148"/>
      <c r="Z348" s="148"/>
      <c r="AA348" s="148"/>
      <c r="AB348" s="148"/>
      <c r="AC348" s="148"/>
      <c r="AD348" s="148"/>
      <c r="AE348" s="148"/>
      <c r="AF348" s="148"/>
      <c r="AG348" s="148"/>
      <c r="AH348" s="148"/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</row>
    <row r="349" spans="1:55" x14ac:dyDescent="0.2">
      <c r="A349" s="148"/>
      <c r="B349" s="148"/>
      <c r="C349" s="148"/>
      <c r="D349" s="148"/>
      <c r="E349" s="148"/>
      <c r="F349" s="148"/>
      <c r="G349" s="148"/>
      <c r="H349" s="148"/>
      <c r="I349" s="148"/>
      <c r="J349" s="148"/>
      <c r="K349" s="148"/>
      <c r="L349" s="148"/>
      <c r="M349" s="148"/>
      <c r="N349" s="148"/>
      <c r="O349" s="148"/>
      <c r="P349" s="148"/>
      <c r="Q349" s="148"/>
      <c r="R349" s="148"/>
      <c r="S349" s="148"/>
      <c r="T349" s="148"/>
      <c r="U349" s="148"/>
      <c r="V349" s="148"/>
      <c r="W349" s="148"/>
      <c r="X349" s="148"/>
      <c r="Y349" s="148"/>
      <c r="Z349" s="148"/>
      <c r="AA349" s="148"/>
      <c r="AB349" s="148"/>
      <c r="AC349" s="148"/>
      <c r="AD349" s="148"/>
      <c r="AE349" s="148"/>
      <c r="AF349" s="148"/>
      <c r="AG349" s="148"/>
      <c r="AH349" s="148"/>
      <c r="AI349" s="148"/>
      <c r="AJ349" s="148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</row>
    <row r="350" spans="1:55" x14ac:dyDescent="0.2">
      <c r="A350" s="148"/>
      <c r="B350" s="148"/>
      <c r="C350" s="148"/>
      <c r="D350" s="148"/>
      <c r="E350" s="148"/>
      <c r="F350" s="148"/>
      <c r="G350" s="148"/>
      <c r="H350" s="148"/>
      <c r="I350" s="148"/>
      <c r="J350" s="148"/>
      <c r="K350" s="148"/>
      <c r="L350" s="148"/>
      <c r="M350" s="148"/>
      <c r="N350" s="148"/>
      <c r="O350" s="148"/>
      <c r="P350" s="148"/>
      <c r="Q350" s="148"/>
      <c r="R350" s="148"/>
      <c r="S350" s="148"/>
      <c r="T350" s="148"/>
      <c r="U350" s="148"/>
      <c r="V350" s="148"/>
      <c r="W350" s="14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/>
      <c r="AH350" s="148"/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</row>
    <row r="351" spans="1:55" x14ac:dyDescent="0.2">
      <c r="A351" s="148"/>
      <c r="B351" s="148"/>
      <c r="C351" s="148"/>
      <c r="D351" s="148"/>
      <c r="E351" s="148"/>
      <c r="F351" s="148"/>
      <c r="G351" s="148"/>
      <c r="H351" s="148"/>
      <c r="I351" s="148"/>
      <c r="J351" s="148"/>
      <c r="K351" s="148"/>
      <c r="L351" s="148"/>
      <c r="M351" s="148"/>
      <c r="N351" s="148"/>
      <c r="O351" s="148"/>
      <c r="P351" s="148"/>
      <c r="Q351" s="148"/>
      <c r="R351" s="148"/>
      <c r="S351" s="148"/>
      <c r="T351" s="148"/>
      <c r="U351" s="148"/>
      <c r="V351" s="148"/>
      <c r="W351" s="148"/>
      <c r="X351" s="148"/>
      <c r="Y351" s="148"/>
      <c r="Z351" s="148"/>
      <c r="AA351" s="148"/>
      <c r="AB351" s="148"/>
      <c r="AC351" s="148"/>
      <c r="AD351" s="148"/>
      <c r="AE351" s="148"/>
      <c r="AF351" s="148"/>
      <c r="AG351" s="148"/>
      <c r="AH351" s="148"/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</row>
    <row r="352" spans="1:55" x14ac:dyDescent="0.2">
      <c r="A352" s="148"/>
      <c r="B352" s="148"/>
      <c r="C352" s="148"/>
      <c r="D352" s="148"/>
      <c r="E352" s="148"/>
      <c r="F352" s="148"/>
      <c r="G352" s="148"/>
      <c r="H352" s="148"/>
      <c r="I352" s="148"/>
      <c r="J352" s="148"/>
      <c r="K352" s="148"/>
      <c r="L352" s="148"/>
      <c r="M352" s="148"/>
      <c r="N352" s="148"/>
      <c r="O352" s="148"/>
      <c r="P352" s="148"/>
      <c r="Q352" s="148"/>
      <c r="R352" s="148"/>
      <c r="S352" s="148"/>
      <c r="T352" s="148"/>
      <c r="U352" s="148"/>
      <c r="V352" s="148"/>
      <c r="W352" s="148"/>
      <c r="X352" s="148"/>
      <c r="Y352" s="148"/>
      <c r="Z352" s="148"/>
      <c r="AA352" s="148"/>
      <c r="AB352" s="148"/>
      <c r="AC352" s="148"/>
      <c r="AD352" s="148"/>
      <c r="AE352" s="148"/>
      <c r="AF352" s="148"/>
      <c r="AG352" s="148"/>
      <c r="AH352" s="148"/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</row>
    <row r="353" spans="1:55" x14ac:dyDescent="0.2">
      <c r="A353" s="148"/>
      <c r="B353" s="148"/>
      <c r="C353" s="148"/>
      <c r="D353" s="148"/>
      <c r="E353" s="148"/>
      <c r="F353" s="148"/>
      <c r="G353" s="148"/>
      <c r="H353" s="148"/>
      <c r="I353" s="148"/>
      <c r="J353" s="148"/>
      <c r="K353" s="148"/>
      <c r="L353" s="148"/>
      <c r="M353" s="148"/>
      <c r="N353" s="148"/>
      <c r="O353" s="148"/>
      <c r="P353" s="148"/>
      <c r="Q353" s="148"/>
      <c r="R353" s="148"/>
      <c r="S353" s="148"/>
      <c r="T353" s="148"/>
      <c r="U353" s="148"/>
      <c r="V353" s="148"/>
      <c r="W353" s="148"/>
      <c r="X353" s="148"/>
      <c r="Y353" s="148"/>
      <c r="Z353" s="148"/>
      <c r="AA353" s="148"/>
      <c r="AB353" s="148"/>
      <c r="AC353" s="148"/>
      <c r="AD353" s="148"/>
      <c r="AE353" s="148"/>
      <c r="AF353" s="148"/>
      <c r="AG353" s="148"/>
      <c r="AH353" s="148"/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</row>
    <row r="354" spans="1:55" x14ac:dyDescent="0.2">
      <c r="A354" s="148"/>
      <c r="B354" s="148"/>
      <c r="C354" s="148"/>
      <c r="D354" s="148"/>
      <c r="E354" s="148"/>
      <c r="F354" s="148"/>
      <c r="G354" s="148"/>
      <c r="H354" s="148"/>
      <c r="I354" s="148"/>
      <c r="J354" s="148"/>
      <c r="K354" s="148"/>
      <c r="L354" s="148"/>
      <c r="M354" s="148"/>
      <c r="N354" s="148"/>
      <c r="O354" s="148"/>
      <c r="P354" s="148"/>
      <c r="Q354" s="148"/>
      <c r="R354" s="148"/>
      <c r="S354" s="148"/>
      <c r="T354" s="148"/>
      <c r="U354" s="148"/>
      <c r="V354" s="148"/>
      <c r="W354" s="148"/>
      <c r="X354" s="148"/>
      <c r="Y354" s="148"/>
      <c r="Z354" s="148"/>
      <c r="AA354" s="148"/>
      <c r="AB354" s="148"/>
      <c r="AC354" s="148"/>
      <c r="AD354" s="148"/>
      <c r="AE354" s="148"/>
      <c r="AF354" s="148"/>
      <c r="AG354" s="148"/>
      <c r="AH354" s="148"/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</row>
    <row r="355" spans="1:55" x14ac:dyDescent="0.2">
      <c r="A355" s="148"/>
      <c r="B355" s="148"/>
      <c r="C355" s="148"/>
      <c r="D355" s="148"/>
      <c r="E355" s="148"/>
      <c r="F355" s="148"/>
      <c r="G355" s="148"/>
      <c r="H355" s="148"/>
      <c r="I355" s="148"/>
      <c r="J355" s="148"/>
      <c r="K355" s="148"/>
      <c r="L355" s="148"/>
      <c r="M355" s="148"/>
      <c r="N355" s="148"/>
      <c r="O355" s="148"/>
      <c r="P355" s="148"/>
      <c r="Q355" s="148"/>
      <c r="R355" s="148"/>
      <c r="S355" s="148"/>
      <c r="T355" s="148"/>
      <c r="U355" s="148"/>
      <c r="V355" s="148"/>
      <c r="W355" s="148"/>
      <c r="X355" s="148"/>
      <c r="Y355" s="148"/>
      <c r="Z355" s="148"/>
      <c r="AA355" s="148"/>
      <c r="AB355" s="148"/>
      <c r="AC355" s="148"/>
      <c r="AD355" s="148"/>
      <c r="AE355" s="148"/>
      <c r="AF355" s="148"/>
      <c r="AG355" s="148"/>
      <c r="AH355" s="148"/>
      <c r="AI355" s="148"/>
      <c r="AJ355" s="148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</row>
    <row r="356" spans="1:55" x14ac:dyDescent="0.2">
      <c r="A356" s="148"/>
      <c r="B356" s="148"/>
      <c r="C356" s="148"/>
      <c r="D356" s="148"/>
      <c r="E356" s="148"/>
      <c r="F356" s="148"/>
      <c r="G356" s="148"/>
      <c r="H356" s="148"/>
      <c r="I356" s="148"/>
      <c r="J356" s="148"/>
      <c r="K356" s="148"/>
      <c r="L356" s="148"/>
      <c r="M356" s="148"/>
      <c r="N356" s="148"/>
      <c r="O356" s="148"/>
      <c r="P356" s="148"/>
      <c r="Q356" s="148"/>
      <c r="R356" s="148"/>
      <c r="S356" s="148"/>
      <c r="T356" s="148"/>
      <c r="U356" s="148"/>
      <c r="V356" s="148"/>
      <c r="W356" s="148"/>
      <c r="X356" s="148"/>
      <c r="Y356" s="148"/>
      <c r="Z356" s="148"/>
      <c r="AA356" s="148"/>
      <c r="AB356" s="148"/>
      <c r="AC356" s="148"/>
      <c r="AD356" s="148"/>
      <c r="AE356" s="148"/>
      <c r="AF356" s="148"/>
      <c r="AG356" s="148"/>
      <c r="AH356" s="148"/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</row>
    <row r="357" spans="1:55" x14ac:dyDescent="0.2">
      <c r="A357" s="148"/>
      <c r="B357" s="148"/>
      <c r="C357" s="148"/>
      <c r="D357" s="148"/>
      <c r="E357" s="148"/>
      <c r="F357" s="148"/>
      <c r="G357" s="148"/>
      <c r="H357" s="148"/>
      <c r="I357" s="148"/>
      <c r="J357" s="148"/>
      <c r="K357" s="148"/>
      <c r="L357" s="148"/>
      <c r="M357" s="148"/>
      <c r="N357" s="148"/>
      <c r="O357" s="148"/>
      <c r="P357" s="148"/>
      <c r="Q357" s="148"/>
      <c r="R357" s="148"/>
      <c r="S357" s="148"/>
      <c r="T357" s="148"/>
      <c r="U357" s="148"/>
      <c r="V357" s="148"/>
      <c r="W357" s="14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/>
      <c r="AH357" s="148"/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</row>
    <row r="358" spans="1:55" x14ac:dyDescent="0.2">
      <c r="A358" s="148"/>
      <c r="B358" s="148"/>
      <c r="C358" s="148"/>
      <c r="D358" s="148"/>
      <c r="E358" s="148"/>
      <c r="F358" s="148"/>
      <c r="G358" s="148"/>
      <c r="H358" s="148"/>
      <c r="I358" s="148"/>
      <c r="J358" s="148"/>
      <c r="K358" s="148"/>
      <c r="L358" s="148"/>
      <c r="M358" s="148"/>
      <c r="N358" s="148"/>
      <c r="O358" s="148"/>
      <c r="P358" s="148"/>
      <c r="Q358" s="148"/>
      <c r="R358" s="148"/>
      <c r="S358" s="148"/>
      <c r="T358" s="148"/>
      <c r="U358" s="148"/>
      <c r="V358" s="148"/>
      <c r="W358" s="148"/>
      <c r="X358" s="148"/>
      <c r="Y358" s="148"/>
      <c r="Z358" s="148"/>
      <c r="AA358" s="148"/>
      <c r="AB358" s="148"/>
      <c r="AC358" s="148"/>
      <c r="AD358" s="148"/>
      <c r="AE358" s="148"/>
      <c r="AF358" s="148"/>
      <c r="AG358" s="148"/>
      <c r="AH358" s="148"/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</row>
    <row r="359" spans="1:55" x14ac:dyDescent="0.2">
      <c r="A359" s="148"/>
      <c r="B359" s="148"/>
      <c r="C359" s="148"/>
      <c r="D359" s="148"/>
      <c r="E359" s="148"/>
      <c r="F359" s="148"/>
      <c r="G359" s="148"/>
      <c r="H359" s="148"/>
      <c r="I359" s="148"/>
      <c r="J359" s="148"/>
      <c r="K359" s="148"/>
      <c r="L359" s="148"/>
      <c r="M359" s="148"/>
      <c r="N359" s="148"/>
      <c r="O359" s="148"/>
      <c r="P359" s="148"/>
      <c r="Q359" s="148"/>
      <c r="R359" s="148"/>
      <c r="S359" s="148"/>
      <c r="T359" s="148"/>
      <c r="U359" s="148"/>
      <c r="V359" s="148"/>
      <c r="W359" s="148"/>
      <c r="X359" s="148"/>
      <c r="Y359" s="148"/>
      <c r="Z359" s="148"/>
      <c r="AA359" s="148"/>
      <c r="AB359" s="148"/>
      <c r="AC359" s="148"/>
      <c r="AD359" s="148"/>
      <c r="AE359" s="148"/>
      <c r="AF359" s="148"/>
      <c r="AG359" s="148"/>
      <c r="AH359" s="148"/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</row>
    <row r="360" spans="1:55" x14ac:dyDescent="0.2">
      <c r="A360" s="148"/>
      <c r="B360" s="148"/>
      <c r="C360" s="148"/>
      <c r="D360" s="148"/>
      <c r="E360" s="148"/>
      <c r="F360" s="148"/>
      <c r="G360" s="148"/>
      <c r="H360" s="148"/>
      <c r="I360" s="148"/>
      <c r="J360" s="148"/>
      <c r="K360" s="148"/>
      <c r="L360" s="148"/>
      <c r="M360" s="148"/>
      <c r="N360" s="148"/>
      <c r="O360" s="148"/>
      <c r="P360" s="148"/>
      <c r="Q360" s="148"/>
      <c r="R360" s="148"/>
      <c r="S360" s="148"/>
      <c r="T360" s="148"/>
      <c r="U360" s="148"/>
      <c r="V360" s="148"/>
      <c r="W360" s="148"/>
      <c r="X360" s="148"/>
      <c r="Y360" s="148"/>
      <c r="Z360" s="148"/>
      <c r="AA360" s="148"/>
      <c r="AB360" s="148"/>
      <c r="AC360" s="148"/>
      <c r="AD360" s="148"/>
      <c r="AE360" s="148"/>
      <c r="AF360" s="148"/>
      <c r="AG360" s="148"/>
      <c r="AH360" s="148"/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</row>
    <row r="361" spans="1:55" x14ac:dyDescent="0.2">
      <c r="A361" s="148"/>
      <c r="B361" s="148"/>
      <c r="C361" s="148"/>
      <c r="D361" s="148"/>
      <c r="E361" s="148"/>
      <c r="F361" s="148"/>
      <c r="G361" s="148"/>
      <c r="H361" s="148"/>
      <c r="I361" s="148"/>
      <c r="J361" s="148"/>
      <c r="K361" s="148"/>
      <c r="L361" s="148"/>
      <c r="M361" s="148"/>
      <c r="N361" s="148"/>
      <c r="O361" s="148"/>
      <c r="P361" s="148"/>
      <c r="Q361" s="148"/>
      <c r="R361" s="148"/>
      <c r="S361" s="148"/>
      <c r="T361" s="148"/>
      <c r="U361" s="148"/>
      <c r="V361" s="148"/>
      <c r="W361" s="14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/>
      <c r="AH361" s="148"/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</row>
    <row r="362" spans="1:55" x14ac:dyDescent="0.2">
      <c r="A362" s="148"/>
      <c r="B362" s="148"/>
      <c r="C362" s="148"/>
      <c r="D362" s="148"/>
      <c r="E362" s="148"/>
      <c r="F362" s="148"/>
      <c r="G362" s="148"/>
      <c r="H362" s="148"/>
      <c r="I362" s="148"/>
      <c r="J362" s="148"/>
      <c r="K362" s="148"/>
      <c r="L362" s="148"/>
      <c r="M362" s="148"/>
      <c r="N362" s="148"/>
      <c r="O362" s="148"/>
      <c r="P362" s="148"/>
      <c r="Q362" s="148"/>
      <c r="R362" s="148"/>
      <c r="S362" s="148"/>
      <c r="T362" s="148"/>
      <c r="U362" s="148"/>
      <c r="V362" s="148"/>
      <c r="W362" s="14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/>
      <c r="AH362" s="148"/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</row>
    <row r="363" spans="1:55" x14ac:dyDescent="0.2">
      <c r="A363" s="148"/>
      <c r="B363" s="148"/>
      <c r="C363" s="148"/>
      <c r="D363" s="148"/>
      <c r="E363" s="148"/>
      <c r="F363" s="148"/>
      <c r="G363" s="148"/>
      <c r="H363" s="148"/>
      <c r="I363" s="148"/>
      <c r="J363" s="148"/>
      <c r="K363" s="148"/>
      <c r="L363" s="148"/>
      <c r="M363" s="148"/>
      <c r="N363" s="148"/>
      <c r="O363" s="148"/>
      <c r="P363" s="148"/>
      <c r="Q363" s="148"/>
      <c r="R363" s="148"/>
      <c r="S363" s="148"/>
      <c r="T363" s="148"/>
      <c r="U363" s="148"/>
      <c r="V363" s="148"/>
      <c r="W363" s="148"/>
      <c r="X363" s="148"/>
      <c r="Y363" s="148"/>
      <c r="Z363" s="148"/>
      <c r="AA363" s="148"/>
      <c r="AB363" s="148"/>
      <c r="AC363" s="148"/>
      <c r="AD363" s="148"/>
      <c r="AE363" s="148"/>
      <c r="AF363" s="148"/>
      <c r="AG363" s="148"/>
      <c r="AH363" s="148"/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</row>
    <row r="364" spans="1:55" x14ac:dyDescent="0.2">
      <c r="A364" s="148"/>
      <c r="B364" s="148"/>
      <c r="C364" s="148"/>
      <c r="D364" s="148"/>
      <c r="E364" s="148"/>
      <c r="F364" s="148"/>
      <c r="G364" s="148"/>
      <c r="H364" s="148"/>
      <c r="I364" s="148"/>
      <c r="J364" s="148"/>
      <c r="K364" s="148"/>
      <c r="L364" s="148"/>
      <c r="M364" s="148"/>
      <c r="N364" s="148"/>
      <c r="O364" s="148"/>
      <c r="P364" s="148"/>
      <c r="Q364" s="148"/>
      <c r="R364" s="148"/>
      <c r="S364" s="148"/>
      <c r="T364" s="148"/>
      <c r="U364" s="148"/>
      <c r="V364" s="148"/>
      <c r="W364" s="148"/>
      <c r="X364" s="148"/>
      <c r="Y364" s="148"/>
      <c r="Z364" s="148"/>
      <c r="AA364" s="148"/>
      <c r="AB364" s="148"/>
      <c r="AC364" s="148"/>
      <c r="AD364" s="148"/>
      <c r="AE364" s="148"/>
      <c r="AF364" s="148"/>
      <c r="AG364" s="148"/>
      <c r="AH364" s="148"/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</row>
    <row r="365" spans="1:55" x14ac:dyDescent="0.2">
      <c r="A365" s="148"/>
      <c r="B365" s="148"/>
      <c r="C365" s="148"/>
      <c r="D365" s="148"/>
      <c r="E365" s="148"/>
      <c r="F365" s="148"/>
      <c r="G365" s="148"/>
      <c r="H365" s="148"/>
      <c r="I365" s="148"/>
      <c r="J365" s="148"/>
      <c r="K365" s="148"/>
      <c r="L365" s="148"/>
      <c r="M365" s="148"/>
      <c r="N365" s="148"/>
      <c r="O365" s="148"/>
      <c r="P365" s="148"/>
      <c r="Q365" s="148"/>
      <c r="R365" s="148"/>
      <c r="S365" s="148"/>
      <c r="T365" s="148"/>
      <c r="U365" s="148"/>
      <c r="V365" s="148"/>
      <c r="W365" s="148"/>
      <c r="X365" s="148"/>
      <c r="Y365" s="148"/>
      <c r="Z365" s="148"/>
      <c r="AA365" s="148"/>
      <c r="AB365" s="148"/>
      <c r="AC365" s="148"/>
      <c r="AD365" s="148"/>
      <c r="AE365" s="148"/>
      <c r="AF365" s="148"/>
      <c r="AG365" s="148"/>
      <c r="AH365" s="148"/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</row>
    <row r="366" spans="1:55" x14ac:dyDescent="0.2">
      <c r="A366" s="148"/>
      <c r="B366" s="148"/>
      <c r="C366" s="148"/>
      <c r="D366" s="148"/>
      <c r="E366" s="148"/>
      <c r="F366" s="148"/>
      <c r="G366" s="148"/>
      <c r="H366" s="148"/>
      <c r="I366" s="148"/>
      <c r="J366" s="148"/>
      <c r="K366" s="148"/>
      <c r="L366" s="148"/>
      <c r="M366" s="148"/>
      <c r="N366" s="148"/>
      <c r="O366" s="148"/>
      <c r="P366" s="148"/>
      <c r="Q366" s="148"/>
      <c r="R366" s="148"/>
      <c r="S366" s="148"/>
      <c r="T366" s="148"/>
      <c r="U366" s="148"/>
      <c r="V366" s="148"/>
      <c r="W366" s="14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/>
      <c r="AH366" s="148"/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</row>
    <row r="367" spans="1:55" x14ac:dyDescent="0.2">
      <c r="A367" s="148"/>
      <c r="B367" s="148"/>
      <c r="C367" s="148"/>
      <c r="D367" s="148"/>
      <c r="E367" s="148"/>
      <c r="F367" s="148"/>
      <c r="G367" s="148"/>
      <c r="H367" s="148"/>
      <c r="I367" s="148"/>
      <c r="J367" s="148"/>
      <c r="K367" s="148"/>
      <c r="L367" s="148"/>
      <c r="M367" s="148"/>
      <c r="N367" s="148"/>
      <c r="O367" s="148"/>
      <c r="P367" s="148"/>
      <c r="Q367" s="148"/>
      <c r="R367" s="148"/>
      <c r="S367" s="148"/>
      <c r="T367" s="148"/>
      <c r="U367" s="148"/>
      <c r="V367" s="148"/>
      <c r="W367" s="14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/>
      <c r="AH367" s="148"/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</row>
    <row r="368" spans="1:55" x14ac:dyDescent="0.2">
      <c r="A368" s="148"/>
      <c r="B368" s="148"/>
      <c r="C368" s="148"/>
      <c r="D368" s="148"/>
      <c r="E368" s="148"/>
      <c r="F368" s="148"/>
      <c r="G368" s="148"/>
      <c r="H368" s="148"/>
      <c r="I368" s="148"/>
      <c r="J368" s="148"/>
      <c r="K368" s="148"/>
      <c r="L368" s="148"/>
      <c r="M368" s="148"/>
      <c r="N368" s="148"/>
      <c r="O368" s="148"/>
      <c r="P368" s="148"/>
      <c r="Q368" s="148"/>
      <c r="R368" s="148"/>
      <c r="S368" s="148"/>
      <c r="T368" s="148"/>
      <c r="U368" s="148"/>
      <c r="V368" s="148"/>
      <c r="W368" s="148"/>
      <c r="X368" s="148"/>
      <c r="Y368" s="148"/>
      <c r="Z368" s="148"/>
      <c r="AA368" s="148"/>
      <c r="AB368" s="148"/>
      <c r="AC368" s="148"/>
      <c r="AD368" s="148"/>
      <c r="AE368" s="148"/>
      <c r="AF368" s="148"/>
      <c r="AG368" s="148"/>
      <c r="AH368" s="148"/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</row>
    <row r="369" spans="1:55" x14ac:dyDescent="0.2">
      <c r="A369" s="148"/>
      <c r="B369" s="148"/>
      <c r="C369" s="148"/>
      <c r="D369" s="148"/>
      <c r="E369" s="148"/>
      <c r="F369" s="148"/>
      <c r="G369" s="148"/>
      <c r="H369" s="148"/>
      <c r="I369" s="148"/>
      <c r="J369" s="148"/>
      <c r="K369" s="148"/>
      <c r="L369" s="148"/>
      <c r="M369" s="148"/>
      <c r="N369" s="148"/>
      <c r="O369" s="148"/>
      <c r="P369" s="148"/>
      <c r="Q369" s="148"/>
      <c r="R369" s="148"/>
      <c r="S369" s="148"/>
      <c r="T369" s="148"/>
      <c r="U369" s="148"/>
      <c r="V369" s="148"/>
      <c r="W369" s="148"/>
      <c r="X369" s="148"/>
      <c r="Y369" s="148"/>
      <c r="Z369" s="148"/>
      <c r="AA369" s="148"/>
      <c r="AB369" s="148"/>
      <c r="AC369" s="148"/>
      <c r="AD369" s="148"/>
      <c r="AE369" s="148"/>
      <c r="AF369" s="148"/>
      <c r="AG369" s="148"/>
      <c r="AH369" s="148"/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</row>
    <row r="370" spans="1:55" x14ac:dyDescent="0.2">
      <c r="A370" s="148"/>
      <c r="B370" s="148"/>
      <c r="C370" s="148"/>
      <c r="D370" s="148"/>
      <c r="E370" s="148"/>
      <c r="F370" s="148"/>
      <c r="G370" s="148"/>
      <c r="H370" s="148"/>
      <c r="I370" s="148"/>
      <c r="J370" s="148"/>
      <c r="K370" s="148"/>
      <c r="L370" s="148"/>
      <c r="M370" s="148"/>
      <c r="N370" s="148"/>
      <c r="O370" s="148"/>
      <c r="P370" s="148"/>
      <c r="Q370" s="148"/>
      <c r="R370" s="148"/>
      <c r="S370" s="148"/>
      <c r="T370" s="148"/>
      <c r="U370" s="148"/>
      <c r="V370" s="148"/>
      <c r="W370" s="148"/>
      <c r="X370" s="148"/>
      <c r="Y370" s="148"/>
      <c r="Z370" s="148"/>
      <c r="AA370" s="148"/>
      <c r="AB370" s="148"/>
      <c r="AC370" s="148"/>
      <c r="AD370" s="148"/>
      <c r="AE370" s="148"/>
      <c r="AF370" s="148"/>
      <c r="AG370" s="148"/>
      <c r="AH370" s="148"/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</row>
    <row r="371" spans="1:55" x14ac:dyDescent="0.2">
      <c r="A371" s="148"/>
      <c r="B371" s="148"/>
      <c r="C371" s="148"/>
      <c r="D371" s="148"/>
      <c r="E371" s="148"/>
      <c r="F371" s="148"/>
      <c r="G371" s="148"/>
      <c r="H371" s="148"/>
      <c r="I371" s="148"/>
      <c r="J371" s="148"/>
      <c r="K371" s="148"/>
      <c r="L371" s="148"/>
      <c r="M371" s="148"/>
      <c r="N371" s="148"/>
      <c r="O371" s="148"/>
      <c r="P371" s="148"/>
      <c r="Q371" s="148"/>
      <c r="R371" s="148"/>
      <c r="S371" s="148"/>
      <c r="T371" s="148"/>
      <c r="U371" s="148"/>
      <c r="V371" s="148"/>
      <c r="W371" s="148"/>
      <c r="X371" s="148"/>
      <c r="Y371" s="148"/>
      <c r="Z371" s="148"/>
      <c r="AA371" s="148"/>
      <c r="AB371" s="148"/>
      <c r="AC371" s="148"/>
      <c r="AD371" s="148"/>
      <c r="AE371" s="148"/>
      <c r="AF371" s="148"/>
      <c r="AG371" s="148"/>
      <c r="AH371" s="148"/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</row>
    <row r="372" spans="1:55" x14ac:dyDescent="0.2">
      <c r="A372" s="148"/>
      <c r="B372" s="148"/>
      <c r="C372" s="148"/>
      <c r="D372" s="148"/>
      <c r="E372" s="148"/>
      <c r="F372" s="148"/>
      <c r="G372" s="148"/>
      <c r="H372" s="148"/>
      <c r="I372" s="148"/>
      <c r="J372" s="148"/>
      <c r="K372" s="148"/>
      <c r="L372" s="148"/>
      <c r="M372" s="148"/>
      <c r="N372" s="148"/>
      <c r="O372" s="148"/>
      <c r="P372" s="148"/>
      <c r="Q372" s="148"/>
      <c r="R372" s="148"/>
      <c r="S372" s="148"/>
      <c r="T372" s="148"/>
      <c r="U372" s="148"/>
      <c r="V372" s="148"/>
      <c r="W372" s="148"/>
      <c r="X372" s="148"/>
      <c r="Y372" s="148"/>
      <c r="Z372" s="148"/>
      <c r="AA372" s="148"/>
      <c r="AB372" s="148"/>
      <c r="AC372" s="148"/>
      <c r="AD372" s="148"/>
      <c r="AE372" s="148"/>
      <c r="AF372" s="148"/>
      <c r="AG372" s="148"/>
      <c r="AH372" s="148"/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</row>
    <row r="373" spans="1:55" x14ac:dyDescent="0.2">
      <c r="A373" s="148"/>
      <c r="B373" s="148"/>
      <c r="C373" s="148"/>
      <c r="D373" s="148"/>
      <c r="E373" s="148"/>
      <c r="F373" s="148"/>
      <c r="G373" s="148"/>
      <c r="H373" s="148"/>
      <c r="I373" s="148"/>
      <c r="J373" s="148"/>
      <c r="K373" s="148"/>
      <c r="L373" s="148"/>
      <c r="M373" s="148"/>
      <c r="N373" s="148"/>
      <c r="O373" s="148"/>
      <c r="P373" s="148"/>
      <c r="Q373" s="148"/>
      <c r="R373" s="148"/>
      <c r="S373" s="148"/>
      <c r="T373" s="148"/>
      <c r="U373" s="148"/>
      <c r="V373" s="148"/>
      <c r="W373" s="148"/>
      <c r="X373" s="148"/>
      <c r="Y373" s="148"/>
      <c r="Z373" s="148"/>
      <c r="AA373" s="148"/>
      <c r="AB373" s="148"/>
      <c r="AC373" s="148"/>
      <c r="AD373" s="148"/>
      <c r="AE373" s="148"/>
      <c r="AF373" s="148"/>
      <c r="AG373" s="148"/>
      <c r="AH373" s="148"/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</row>
    <row r="374" spans="1:55" x14ac:dyDescent="0.2">
      <c r="A374" s="148"/>
      <c r="B374" s="148"/>
      <c r="C374" s="148"/>
      <c r="D374" s="148"/>
      <c r="E374" s="148"/>
      <c r="F374" s="148"/>
      <c r="G374" s="148"/>
      <c r="H374" s="148"/>
      <c r="I374" s="148"/>
      <c r="J374" s="148"/>
      <c r="K374" s="148"/>
      <c r="L374" s="148"/>
      <c r="M374" s="148"/>
      <c r="N374" s="148"/>
      <c r="O374" s="148"/>
      <c r="P374" s="148"/>
      <c r="Q374" s="148"/>
      <c r="R374" s="148"/>
      <c r="S374" s="148"/>
      <c r="T374" s="148"/>
      <c r="U374" s="148"/>
      <c r="V374" s="148"/>
      <c r="W374" s="148"/>
      <c r="X374" s="148"/>
      <c r="Y374" s="148"/>
      <c r="Z374" s="148"/>
      <c r="AA374" s="148"/>
      <c r="AB374" s="148"/>
      <c r="AC374" s="148"/>
      <c r="AD374" s="148"/>
      <c r="AE374" s="148"/>
      <c r="AF374" s="148"/>
      <c r="AG374" s="148"/>
      <c r="AH374" s="148"/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</row>
    <row r="375" spans="1:55" x14ac:dyDescent="0.2">
      <c r="A375" s="148"/>
      <c r="B375" s="148"/>
      <c r="C375" s="148"/>
      <c r="D375" s="148"/>
      <c r="E375" s="148"/>
      <c r="F375" s="148"/>
      <c r="G375" s="148"/>
      <c r="H375" s="148"/>
      <c r="I375" s="148"/>
      <c r="J375" s="148"/>
      <c r="K375" s="148"/>
      <c r="L375" s="148"/>
      <c r="M375" s="148"/>
      <c r="N375" s="148"/>
      <c r="O375" s="148"/>
      <c r="P375" s="148"/>
      <c r="Q375" s="148"/>
      <c r="R375" s="148"/>
      <c r="S375" s="148"/>
      <c r="T375" s="148"/>
      <c r="U375" s="148"/>
      <c r="V375" s="148"/>
      <c r="W375" s="148"/>
      <c r="X375" s="148"/>
      <c r="Y375" s="148"/>
      <c r="Z375" s="148"/>
      <c r="AA375" s="148"/>
      <c r="AB375" s="148"/>
      <c r="AC375" s="148"/>
      <c r="AD375" s="148"/>
      <c r="AE375" s="148"/>
      <c r="AF375" s="148"/>
      <c r="AG375" s="148"/>
      <c r="AH375" s="148"/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</row>
    <row r="376" spans="1:55" x14ac:dyDescent="0.2">
      <c r="A376" s="148"/>
      <c r="B376" s="148"/>
      <c r="C376" s="148"/>
      <c r="D376" s="148"/>
      <c r="E376" s="148"/>
      <c r="F376" s="148"/>
      <c r="G376" s="148"/>
      <c r="H376" s="148"/>
      <c r="I376" s="148"/>
      <c r="J376" s="148"/>
      <c r="K376" s="148"/>
      <c r="L376" s="148"/>
      <c r="M376" s="148"/>
      <c r="N376" s="148"/>
      <c r="O376" s="148"/>
      <c r="P376" s="148"/>
      <c r="Q376" s="148"/>
      <c r="R376" s="148"/>
      <c r="S376" s="148"/>
      <c r="T376" s="148"/>
      <c r="U376" s="148"/>
      <c r="V376" s="148"/>
      <c r="W376" s="148"/>
      <c r="X376" s="148"/>
      <c r="Y376" s="148"/>
      <c r="Z376" s="148"/>
      <c r="AA376" s="148"/>
      <c r="AB376" s="148"/>
      <c r="AC376" s="148"/>
      <c r="AD376" s="148"/>
      <c r="AE376" s="148"/>
      <c r="AF376" s="148"/>
      <c r="AG376" s="148"/>
      <c r="AH376" s="148"/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</row>
    <row r="377" spans="1:55" x14ac:dyDescent="0.2">
      <c r="A377" s="148"/>
      <c r="B377" s="148"/>
      <c r="C377" s="148"/>
      <c r="D377" s="148"/>
      <c r="E377" s="148"/>
      <c r="F377" s="148"/>
      <c r="G377" s="148"/>
      <c r="H377" s="148"/>
      <c r="I377" s="148"/>
      <c r="J377" s="148"/>
      <c r="K377" s="148"/>
      <c r="L377" s="148"/>
      <c r="M377" s="148"/>
      <c r="N377" s="148"/>
      <c r="O377" s="148"/>
      <c r="P377" s="148"/>
      <c r="Q377" s="148"/>
      <c r="R377" s="148"/>
      <c r="S377" s="148"/>
      <c r="T377" s="148"/>
      <c r="U377" s="148"/>
      <c r="V377" s="148"/>
      <c r="W377" s="148"/>
      <c r="X377" s="148"/>
      <c r="Y377" s="148"/>
      <c r="Z377" s="148"/>
      <c r="AA377" s="148"/>
      <c r="AB377" s="148"/>
      <c r="AC377" s="148"/>
      <c r="AD377" s="148"/>
      <c r="AE377" s="148"/>
      <c r="AF377" s="148"/>
      <c r="AG377" s="148"/>
      <c r="AH377" s="148"/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</row>
    <row r="378" spans="1:55" x14ac:dyDescent="0.2">
      <c r="A378" s="148"/>
      <c r="B378" s="148"/>
      <c r="C378" s="148"/>
      <c r="D378" s="148"/>
      <c r="E378" s="148"/>
      <c r="F378" s="148"/>
      <c r="G378" s="148"/>
      <c r="H378" s="148"/>
      <c r="I378" s="148"/>
      <c r="J378" s="148"/>
      <c r="K378" s="148"/>
      <c r="L378" s="148"/>
      <c r="M378" s="148"/>
      <c r="N378" s="148"/>
      <c r="O378" s="148"/>
      <c r="P378" s="148"/>
      <c r="Q378" s="148"/>
      <c r="R378" s="148"/>
      <c r="S378" s="148"/>
      <c r="T378" s="148"/>
      <c r="U378" s="148"/>
      <c r="V378" s="148"/>
      <c r="W378" s="14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/>
      <c r="AH378" s="148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</row>
    <row r="379" spans="1:55" x14ac:dyDescent="0.2">
      <c r="A379" s="148"/>
      <c r="B379" s="148"/>
      <c r="C379" s="148"/>
      <c r="D379" s="148"/>
      <c r="E379" s="148"/>
      <c r="F379" s="148"/>
      <c r="G379" s="148"/>
      <c r="H379" s="148"/>
      <c r="I379" s="148"/>
      <c r="J379" s="148"/>
      <c r="K379" s="148"/>
      <c r="L379" s="148"/>
      <c r="M379" s="148"/>
      <c r="N379" s="148"/>
      <c r="O379" s="148"/>
      <c r="P379" s="148"/>
      <c r="Q379" s="148"/>
      <c r="R379" s="148"/>
      <c r="S379" s="148"/>
      <c r="T379" s="148"/>
      <c r="U379" s="148"/>
      <c r="V379" s="148"/>
      <c r="W379" s="148"/>
      <c r="X379" s="148"/>
      <c r="Y379" s="148"/>
      <c r="Z379" s="148"/>
      <c r="AA379" s="148"/>
      <c r="AB379" s="148"/>
      <c r="AC379" s="148"/>
      <c r="AD379" s="148"/>
      <c r="AE379" s="148"/>
      <c r="AF379" s="148"/>
      <c r="AG379" s="148"/>
      <c r="AH379" s="148"/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48"/>
    </row>
    <row r="380" spans="1:55" x14ac:dyDescent="0.2">
      <c r="A380" s="148"/>
      <c r="B380" s="148"/>
      <c r="C380" s="148"/>
      <c r="D380" s="148"/>
      <c r="E380" s="148"/>
      <c r="F380" s="148"/>
      <c r="G380" s="148"/>
      <c r="H380" s="148"/>
      <c r="I380" s="148"/>
      <c r="J380" s="148"/>
      <c r="K380" s="148"/>
      <c r="L380" s="148"/>
      <c r="M380" s="148"/>
      <c r="N380" s="148"/>
      <c r="O380" s="148"/>
      <c r="P380" s="148"/>
      <c r="Q380" s="148"/>
      <c r="R380" s="148"/>
      <c r="S380" s="148"/>
      <c r="T380" s="148"/>
      <c r="U380" s="148"/>
      <c r="V380" s="148"/>
      <c r="W380" s="14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/>
      <c r="AH380" s="148"/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</row>
    <row r="381" spans="1:55" x14ac:dyDescent="0.2">
      <c r="A381" s="148"/>
      <c r="B381" s="148"/>
      <c r="C381" s="148"/>
      <c r="D381" s="148"/>
      <c r="E381" s="148"/>
      <c r="F381" s="148"/>
      <c r="G381" s="148"/>
      <c r="H381" s="148"/>
      <c r="I381" s="148"/>
      <c r="J381" s="148"/>
      <c r="K381" s="148"/>
      <c r="L381" s="148"/>
      <c r="M381" s="148"/>
      <c r="N381" s="148"/>
      <c r="O381" s="148"/>
      <c r="P381" s="148"/>
      <c r="Q381" s="148"/>
      <c r="R381" s="148"/>
      <c r="S381" s="148"/>
      <c r="T381" s="148"/>
      <c r="U381" s="148"/>
      <c r="V381" s="148"/>
      <c r="W381" s="14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/>
      <c r="AH381" s="148"/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</row>
    <row r="382" spans="1:55" x14ac:dyDescent="0.2">
      <c r="A382" s="148"/>
      <c r="B382" s="148"/>
      <c r="C382" s="148"/>
      <c r="D382" s="148"/>
      <c r="E382" s="148"/>
      <c r="F382" s="148"/>
      <c r="G382" s="148"/>
      <c r="H382" s="148"/>
      <c r="I382" s="148"/>
      <c r="J382" s="148"/>
      <c r="K382" s="148"/>
      <c r="L382" s="148"/>
      <c r="M382" s="148"/>
      <c r="N382" s="148"/>
      <c r="O382" s="148"/>
      <c r="P382" s="148"/>
      <c r="Q382" s="148"/>
      <c r="R382" s="148"/>
      <c r="S382" s="148"/>
      <c r="T382" s="148"/>
      <c r="U382" s="148"/>
      <c r="V382" s="148"/>
      <c r="W382" s="148"/>
      <c r="X382" s="148"/>
      <c r="Y382" s="148"/>
      <c r="Z382" s="148"/>
      <c r="AA382" s="148"/>
      <c r="AB382" s="148"/>
      <c r="AC382" s="148"/>
      <c r="AD382" s="148"/>
      <c r="AE382" s="148"/>
      <c r="AF382" s="148"/>
      <c r="AG382" s="148"/>
      <c r="AH382" s="148"/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</row>
    <row r="383" spans="1:55" x14ac:dyDescent="0.2">
      <c r="A383" s="148"/>
      <c r="B383" s="148"/>
      <c r="C383" s="148"/>
      <c r="D383" s="148"/>
      <c r="E383" s="148"/>
      <c r="F383" s="148"/>
      <c r="G383" s="148"/>
      <c r="H383" s="148"/>
      <c r="I383" s="148"/>
      <c r="J383" s="148"/>
      <c r="K383" s="148"/>
      <c r="L383" s="148"/>
      <c r="M383" s="148"/>
      <c r="N383" s="148"/>
      <c r="O383" s="148"/>
      <c r="P383" s="148"/>
      <c r="Q383" s="148"/>
      <c r="R383" s="148"/>
      <c r="S383" s="148"/>
      <c r="T383" s="148"/>
      <c r="U383" s="148"/>
      <c r="V383" s="148"/>
      <c r="W383" s="148"/>
      <c r="X383" s="148"/>
      <c r="Y383" s="148"/>
      <c r="Z383" s="148"/>
      <c r="AA383" s="148"/>
      <c r="AB383" s="148"/>
      <c r="AC383" s="148"/>
      <c r="AD383" s="148"/>
      <c r="AE383" s="148"/>
      <c r="AF383" s="148"/>
      <c r="AG383" s="148"/>
      <c r="AH383" s="148"/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</row>
    <row r="384" spans="1:55" x14ac:dyDescent="0.2">
      <c r="A384" s="148"/>
      <c r="B384" s="148"/>
      <c r="C384" s="148"/>
      <c r="D384" s="148"/>
      <c r="E384" s="148"/>
      <c r="F384" s="148"/>
      <c r="G384" s="148"/>
      <c r="H384" s="148"/>
      <c r="I384" s="148"/>
      <c r="J384" s="148"/>
      <c r="K384" s="148"/>
      <c r="L384" s="148"/>
      <c r="M384" s="148"/>
      <c r="N384" s="148"/>
      <c r="O384" s="148"/>
      <c r="P384" s="148"/>
      <c r="Q384" s="148"/>
      <c r="R384" s="148"/>
      <c r="S384" s="148"/>
      <c r="T384" s="148"/>
      <c r="U384" s="148"/>
      <c r="V384" s="148"/>
      <c r="W384" s="14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/>
      <c r="AH384" s="148"/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</row>
    <row r="385" spans="1:55" x14ac:dyDescent="0.2">
      <c r="A385" s="148"/>
      <c r="B385" s="148"/>
      <c r="C385" s="148"/>
      <c r="D385" s="148"/>
      <c r="E385" s="148"/>
      <c r="F385" s="148"/>
      <c r="G385" s="148"/>
      <c r="H385" s="148"/>
      <c r="I385" s="148"/>
      <c r="J385" s="148"/>
      <c r="K385" s="148"/>
      <c r="L385" s="148"/>
      <c r="M385" s="148"/>
      <c r="N385" s="148"/>
      <c r="O385" s="148"/>
      <c r="P385" s="148"/>
      <c r="Q385" s="148"/>
      <c r="R385" s="148"/>
      <c r="S385" s="148"/>
      <c r="T385" s="148"/>
      <c r="U385" s="148"/>
      <c r="V385" s="148"/>
      <c r="W385" s="148"/>
      <c r="X385" s="148"/>
      <c r="Y385" s="148"/>
      <c r="Z385" s="148"/>
      <c r="AA385" s="148"/>
      <c r="AB385" s="148"/>
      <c r="AC385" s="148"/>
      <c r="AD385" s="148"/>
      <c r="AE385" s="148"/>
      <c r="AF385" s="148"/>
      <c r="AG385" s="148"/>
      <c r="AH385" s="148"/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</row>
    <row r="386" spans="1:55" x14ac:dyDescent="0.2">
      <c r="A386" s="148"/>
      <c r="B386" s="148"/>
      <c r="C386" s="148"/>
      <c r="D386" s="148"/>
      <c r="E386" s="148"/>
      <c r="F386" s="148"/>
      <c r="G386" s="148"/>
      <c r="H386" s="148"/>
      <c r="I386" s="148"/>
      <c r="J386" s="148"/>
      <c r="K386" s="148"/>
      <c r="L386" s="148"/>
      <c r="M386" s="148"/>
      <c r="N386" s="148"/>
      <c r="O386" s="148"/>
      <c r="P386" s="148"/>
      <c r="Q386" s="148"/>
      <c r="R386" s="148"/>
      <c r="S386" s="148"/>
      <c r="T386" s="148"/>
      <c r="U386" s="148"/>
      <c r="V386" s="148"/>
      <c r="W386" s="148"/>
      <c r="X386" s="148"/>
      <c r="Y386" s="148"/>
      <c r="Z386" s="148"/>
      <c r="AA386" s="148"/>
      <c r="AB386" s="148"/>
      <c r="AC386" s="148"/>
      <c r="AD386" s="148"/>
      <c r="AE386" s="148"/>
      <c r="AF386" s="148"/>
      <c r="AG386" s="148"/>
      <c r="AH386" s="148"/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</row>
    <row r="387" spans="1:55" x14ac:dyDescent="0.2">
      <c r="A387" s="148"/>
      <c r="B387" s="148"/>
      <c r="C387" s="148"/>
      <c r="D387" s="148"/>
      <c r="E387" s="148"/>
      <c r="F387" s="148"/>
      <c r="G387" s="148"/>
      <c r="H387" s="148"/>
      <c r="I387" s="148"/>
      <c r="J387" s="148"/>
      <c r="K387" s="148"/>
      <c r="L387" s="148"/>
      <c r="M387" s="148"/>
      <c r="N387" s="148"/>
      <c r="O387" s="148"/>
      <c r="P387" s="148"/>
      <c r="Q387" s="148"/>
      <c r="R387" s="148"/>
      <c r="S387" s="148"/>
      <c r="T387" s="148"/>
      <c r="U387" s="148"/>
      <c r="V387" s="148"/>
      <c r="W387" s="14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/>
      <c r="AH387" s="148"/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</row>
    <row r="388" spans="1:55" x14ac:dyDescent="0.2">
      <c r="A388" s="148"/>
      <c r="B388" s="148"/>
      <c r="C388" s="148"/>
      <c r="D388" s="148"/>
      <c r="E388" s="148"/>
      <c r="F388" s="148"/>
      <c r="G388" s="148"/>
      <c r="H388" s="148"/>
      <c r="I388" s="148"/>
      <c r="J388" s="148"/>
      <c r="K388" s="148"/>
      <c r="L388" s="148"/>
      <c r="M388" s="148"/>
      <c r="N388" s="148"/>
      <c r="O388" s="148"/>
      <c r="P388" s="148"/>
      <c r="Q388" s="148"/>
      <c r="R388" s="148"/>
      <c r="S388" s="148"/>
      <c r="T388" s="148"/>
      <c r="U388" s="148"/>
      <c r="V388" s="148"/>
      <c r="W388" s="14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/>
      <c r="AH388" s="148"/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</row>
    <row r="389" spans="1:55" x14ac:dyDescent="0.2">
      <c r="A389" s="148"/>
      <c r="B389" s="148"/>
      <c r="C389" s="148"/>
      <c r="D389" s="148"/>
      <c r="E389" s="148"/>
      <c r="F389" s="148"/>
      <c r="G389" s="148"/>
      <c r="H389" s="148"/>
      <c r="I389" s="148"/>
      <c r="J389" s="148"/>
      <c r="K389" s="148"/>
      <c r="L389" s="148"/>
      <c r="M389" s="148"/>
      <c r="N389" s="148"/>
      <c r="O389" s="148"/>
      <c r="P389" s="148"/>
      <c r="Q389" s="148"/>
      <c r="R389" s="148"/>
      <c r="S389" s="148"/>
      <c r="T389" s="148"/>
      <c r="U389" s="148"/>
      <c r="V389" s="148"/>
      <c r="W389" s="14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/>
      <c r="AH389" s="148"/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</row>
    <row r="390" spans="1:55" x14ac:dyDescent="0.2">
      <c r="A390" s="148"/>
      <c r="B390" s="148"/>
      <c r="C390" s="148"/>
      <c r="D390" s="148"/>
      <c r="E390" s="148"/>
      <c r="F390" s="148"/>
      <c r="G390" s="148"/>
      <c r="H390" s="148"/>
      <c r="I390" s="148"/>
      <c r="J390" s="148"/>
      <c r="K390" s="148"/>
      <c r="L390" s="148"/>
      <c r="M390" s="148"/>
      <c r="N390" s="148"/>
      <c r="O390" s="148"/>
      <c r="P390" s="148"/>
      <c r="Q390" s="148"/>
      <c r="R390" s="148"/>
      <c r="S390" s="148"/>
      <c r="T390" s="148"/>
      <c r="U390" s="148"/>
      <c r="V390" s="148"/>
      <c r="W390" s="14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/>
      <c r="AH390" s="148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</row>
    <row r="391" spans="1:55" x14ac:dyDescent="0.2">
      <c r="A391" s="148"/>
      <c r="B391" s="148"/>
      <c r="C391" s="148"/>
      <c r="D391" s="148"/>
      <c r="E391" s="148"/>
      <c r="F391" s="148"/>
      <c r="G391" s="148"/>
      <c r="H391" s="148"/>
      <c r="I391" s="148"/>
      <c r="J391" s="148"/>
      <c r="K391" s="148"/>
      <c r="L391" s="148"/>
      <c r="M391" s="148"/>
      <c r="N391" s="148"/>
      <c r="O391" s="148"/>
      <c r="P391" s="148"/>
      <c r="Q391" s="148"/>
      <c r="R391" s="148"/>
      <c r="S391" s="148"/>
      <c r="T391" s="148"/>
      <c r="U391" s="148"/>
      <c r="V391" s="148"/>
      <c r="W391" s="14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</row>
    <row r="392" spans="1:55" x14ac:dyDescent="0.2">
      <c r="A392" s="148"/>
      <c r="B392" s="148"/>
      <c r="C392" s="148"/>
      <c r="D392" s="148"/>
      <c r="E392" s="148"/>
      <c r="F392" s="148"/>
      <c r="G392" s="148"/>
      <c r="H392" s="148"/>
      <c r="I392" s="148"/>
      <c r="J392" s="148"/>
      <c r="K392" s="148"/>
      <c r="L392" s="148"/>
      <c r="M392" s="148"/>
      <c r="N392" s="148"/>
      <c r="O392" s="148"/>
      <c r="P392" s="148"/>
      <c r="Q392" s="148"/>
      <c r="R392" s="148"/>
      <c r="S392" s="148"/>
      <c r="T392" s="148"/>
      <c r="U392" s="148"/>
      <c r="V392" s="148"/>
      <c r="W392" s="14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</row>
    <row r="393" spans="1:55" x14ac:dyDescent="0.2">
      <c r="A393" s="148"/>
      <c r="B393" s="148"/>
      <c r="C393" s="148"/>
      <c r="D393" s="148"/>
      <c r="E393" s="148"/>
      <c r="F393" s="148"/>
      <c r="G393" s="148"/>
      <c r="H393" s="148"/>
      <c r="I393" s="148"/>
      <c r="J393" s="148"/>
      <c r="K393" s="148"/>
      <c r="L393" s="148"/>
      <c r="M393" s="148"/>
      <c r="N393" s="148"/>
      <c r="O393" s="148"/>
      <c r="P393" s="148"/>
      <c r="Q393" s="148"/>
      <c r="R393" s="148"/>
      <c r="S393" s="148"/>
      <c r="T393" s="148"/>
      <c r="U393" s="148"/>
      <c r="V393" s="148"/>
      <c r="W393" s="14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/>
      <c r="AH393" s="148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</row>
    <row r="394" spans="1:55" x14ac:dyDescent="0.2">
      <c r="A394" s="148"/>
      <c r="B394" s="148"/>
      <c r="C394" s="148"/>
      <c r="D394" s="148"/>
      <c r="E394" s="148"/>
      <c r="F394" s="148"/>
      <c r="G394" s="148"/>
      <c r="H394" s="148"/>
      <c r="I394" s="148"/>
      <c r="J394" s="148"/>
      <c r="K394" s="148"/>
      <c r="L394" s="148"/>
      <c r="M394" s="148"/>
      <c r="N394" s="148"/>
      <c r="O394" s="148"/>
      <c r="P394" s="148"/>
      <c r="Q394" s="148"/>
      <c r="R394" s="148"/>
      <c r="S394" s="148"/>
      <c r="T394" s="148"/>
      <c r="U394" s="148"/>
      <c r="V394" s="148"/>
      <c r="W394" s="14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</row>
    <row r="395" spans="1:55" x14ac:dyDescent="0.2">
      <c r="A395" s="148"/>
      <c r="B395" s="148"/>
      <c r="C395" s="148"/>
      <c r="D395" s="148"/>
      <c r="E395" s="148"/>
      <c r="F395" s="148"/>
      <c r="G395" s="148"/>
      <c r="H395" s="148"/>
      <c r="I395" s="148"/>
      <c r="J395" s="148"/>
      <c r="K395" s="148"/>
      <c r="L395" s="148"/>
      <c r="M395" s="148"/>
      <c r="N395" s="148"/>
      <c r="O395" s="148"/>
      <c r="P395" s="148"/>
      <c r="Q395" s="148"/>
      <c r="R395" s="148"/>
      <c r="S395" s="148"/>
      <c r="T395" s="148"/>
      <c r="U395" s="148"/>
      <c r="V395" s="148"/>
      <c r="W395" s="14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</row>
    <row r="396" spans="1:55" x14ac:dyDescent="0.2">
      <c r="A396" s="148"/>
      <c r="B396" s="148"/>
      <c r="C396" s="148"/>
      <c r="D396" s="148"/>
      <c r="E396" s="148"/>
      <c r="F396" s="148"/>
      <c r="G396" s="148"/>
      <c r="H396" s="148"/>
      <c r="I396" s="148"/>
      <c r="J396" s="148"/>
      <c r="K396" s="148"/>
      <c r="L396" s="148"/>
      <c r="M396" s="148"/>
      <c r="N396" s="148"/>
      <c r="O396" s="148"/>
      <c r="P396" s="148"/>
      <c r="Q396" s="148"/>
      <c r="R396" s="148"/>
      <c r="S396" s="148"/>
      <c r="T396" s="148"/>
      <c r="U396" s="148"/>
      <c r="V396" s="148"/>
      <c r="W396" s="14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</row>
    <row r="397" spans="1:55" x14ac:dyDescent="0.2">
      <c r="A397" s="148"/>
      <c r="B397" s="148"/>
      <c r="C397" s="148"/>
      <c r="D397" s="148"/>
      <c r="E397" s="148"/>
      <c r="F397" s="148"/>
      <c r="G397" s="148"/>
      <c r="H397" s="148"/>
      <c r="I397" s="148"/>
      <c r="J397" s="148"/>
      <c r="K397" s="148"/>
      <c r="L397" s="148"/>
      <c r="M397" s="148"/>
      <c r="N397" s="148"/>
      <c r="O397" s="148"/>
      <c r="P397" s="148"/>
      <c r="Q397" s="148"/>
      <c r="R397" s="148"/>
      <c r="S397" s="148"/>
      <c r="T397" s="148"/>
      <c r="U397" s="148"/>
      <c r="V397" s="148"/>
      <c r="W397" s="14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</row>
    <row r="398" spans="1:55" x14ac:dyDescent="0.2">
      <c r="A398" s="148"/>
      <c r="B398" s="148"/>
      <c r="C398" s="148"/>
      <c r="D398" s="148"/>
      <c r="E398" s="148"/>
      <c r="F398" s="148"/>
      <c r="G398" s="148"/>
      <c r="H398" s="148"/>
      <c r="I398" s="148"/>
      <c r="J398" s="148"/>
      <c r="K398" s="148"/>
      <c r="L398" s="148"/>
      <c r="M398" s="148"/>
      <c r="N398" s="148"/>
      <c r="O398" s="148"/>
      <c r="P398" s="148"/>
      <c r="Q398" s="148"/>
      <c r="R398" s="148"/>
      <c r="S398" s="148"/>
      <c r="T398" s="148"/>
      <c r="U398" s="148"/>
      <c r="V398" s="148"/>
      <c r="W398" s="14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</row>
    <row r="399" spans="1:55" x14ac:dyDescent="0.2">
      <c r="A399" s="148"/>
      <c r="B399" s="148"/>
      <c r="C399" s="148"/>
      <c r="D399" s="148"/>
      <c r="E399" s="148"/>
      <c r="F399" s="148"/>
      <c r="G399" s="148"/>
      <c r="H399" s="148"/>
      <c r="I399" s="148"/>
      <c r="J399" s="148"/>
      <c r="K399" s="148"/>
      <c r="L399" s="148"/>
      <c r="M399" s="148"/>
      <c r="N399" s="148"/>
      <c r="O399" s="148"/>
      <c r="P399" s="148"/>
      <c r="Q399" s="148"/>
      <c r="R399" s="148"/>
      <c r="S399" s="148"/>
      <c r="T399" s="148"/>
      <c r="U399" s="148"/>
      <c r="V399" s="148"/>
      <c r="W399" s="14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</row>
    <row r="400" spans="1:55" x14ac:dyDescent="0.2">
      <c r="A400" s="148"/>
      <c r="B400" s="148"/>
      <c r="C400" s="148"/>
      <c r="D400" s="148"/>
      <c r="E400" s="148"/>
      <c r="F400" s="148"/>
      <c r="G400" s="148"/>
      <c r="H400" s="148"/>
      <c r="I400" s="148"/>
      <c r="J400" s="148"/>
      <c r="K400" s="148"/>
      <c r="L400" s="148"/>
      <c r="M400" s="148"/>
      <c r="N400" s="148"/>
      <c r="O400" s="148"/>
      <c r="P400" s="148"/>
      <c r="Q400" s="148"/>
      <c r="R400" s="148"/>
      <c r="S400" s="148"/>
      <c r="T400" s="148"/>
      <c r="U400" s="148"/>
      <c r="V400" s="148"/>
      <c r="W400" s="14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/>
      <c r="AH400" s="148"/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</row>
    <row r="401" spans="1:55" x14ac:dyDescent="0.2">
      <c r="A401" s="148"/>
      <c r="B401" s="148"/>
      <c r="C401" s="148"/>
      <c r="D401" s="148"/>
      <c r="E401" s="148"/>
      <c r="F401" s="148"/>
      <c r="G401" s="148"/>
      <c r="H401" s="148"/>
      <c r="I401" s="148"/>
      <c r="J401" s="148"/>
      <c r="K401" s="148"/>
      <c r="L401" s="148"/>
      <c r="M401" s="148"/>
      <c r="N401" s="148"/>
      <c r="O401" s="148"/>
      <c r="P401" s="148"/>
      <c r="Q401" s="148"/>
      <c r="R401" s="148"/>
      <c r="S401" s="148"/>
      <c r="T401" s="148"/>
      <c r="U401" s="148"/>
      <c r="V401" s="148"/>
      <c r="W401" s="14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</row>
    <row r="402" spans="1:55" x14ac:dyDescent="0.2">
      <c r="A402" s="148"/>
      <c r="B402" s="148"/>
      <c r="C402" s="148"/>
      <c r="D402" s="148"/>
      <c r="E402" s="148"/>
      <c r="F402" s="148"/>
      <c r="G402" s="148"/>
      <c r="H402" s="148"/>
      <c r="I402" s="148"/>
      <c r="J402" s="148"/>
      <c r="K402" s="148"/>
      <c r="L402" s="148"/>
      <c r="M402" s="148"/>
      <c r="N402" s="148"/>
      <c r="O402" s="148"/>
      <c r="P402" s="148"/>
      <c r="Q402" s="148"/>
      <c r="R402" s="148"/>
      <c r="S402" s="148"/>
      <c r="T402" s="148"/>
      <c r="U402" s="148"/>
      <c r="V402" s="148"/>
      <c r="W402" s="14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/>
      <c r="AH402" s="148"/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</row>
    <row r="403" spans="1:55" x14ac:dyDescent="0.2">
      <c r="A403" s="148"/>
      <c r="B403" s="148"/>
      <c r="C403" s="148"/>
      <c r="D403" s="148"/>
      <c r="E403" s="148"/>
      <c r="F403" s="148"/>
      <c r="G403" s="148"/>
      <c r="H403" s="148"/>
      <c r="I403" s="148"/>
      <c r="J403" s="148"/>
      <c r="K403" s="148"/>
      <c r="L403" s="148"/>
      <c r="M403" s="148"/>
      <c r="N403" s="148"/>
      <c r="O403" s="148"/>
      <c r="P403" s="148"/>
      <c r="Q403" s="148"/>
      <c r="R403" s="148"/>
      <c r="S403" s="148"/>
      <c r="T403" s="148"/>
      <c r="U403" s="148"/>
      <c r="V403" s="148"/>
      <c r="W403" s="14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/>
      <c r="AH403" s="148"/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</row>
    <row r="404" spans="1:55" x14ac:dyDescent="0.2">
      <c r="A404" s="148"/>
      <c r="B404" s="148"/>
      <c r="C404" s="148"/>
      <c r="D404" s="148"/>
      <c r="E404" s="148"/>
      <c r="F404" s="148"/>
      <c r="G404" s="148"/>
      <c r="H404" s="148"/>
      <c r="I404" s="148"/>
      <c r="J404" s="148"/>
      <c r="K404" s="148"/>
      <c r="L404" s="148"/>
      <c r="M404" s="148"/>
      <c r="N404" s="148"/>
      <c r="O404" s="148"/>
      <c r="P404" s="148"/>
      <c r="Q404" s="148"/>
      <c r="R404" s="148"/>
      <c r="S404" s="148"/>
      <c r="T404" s="148"/>
      <c r="U404" s="148"/>
      <c r="V404" s="148"/>
      <c r="W404" s="14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/>
      <c r="AH404" s="148"/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</row>
    <row r="405" spans="1:55" x14ac:dyDescent="0.2">
      <c r="A405" s="148"/>
      <c r="B405" s="148"/>
      <c r="C405" s="148"/>
      <c r="D405" s="148"/>
      <c r="E405" s="148"/>
      <c r="F405" s="148"/>
      <c r="G405" s="148"/>
      <c r="H405" s="148"/>
      <c r="I405" s="148"/>
      <c r="J405" s="148"/>
      <c r="K405" s="148"/>
      <c r="L405" s="148"/>
      <c r="M405" s="148"/>
      <c r="N405" s="148"/>
      <c r="O405" s="148"/>
      <c r="P405" s="148"/>
      <c r="Q405" s="148"/>
      <c r="R405" s="148"/>
      <c r="S405" s="148"/>
      <c r="T405" s="148"/>
      <c r="U405" s="148"/>
      <c r="V405" s="148"/>
      <c r="W405" s="14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/>
      <c r="AH405" s="148"/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</row>
    <row r="406" spans="1:55" x14ac:dyDescent="0.2">
      <c r="A406" s="148"/>
      <c r="B406" s="148"/>
      <c r="C406" s="148"/>
      <c r="D406" s="148"/>
      <c r="E406" s="148"/>
      <c r="F406" s="148"/>
      <c r="G406" s="148"/>
      <c r="H406" s="148"/>
      <c r="I406" s="148"/>
      <c r="J406" s="148"/>
      <c r="K406" s="148"/>
      <c r="L406" s="148"/>
      <c r="M406" s="148"/>
      <c r="N406" s="148"/>
      <c r="O406" s="148"/>
      <c r="P406" s="148"/>
      <c r="Q406" s="148"/>
      <c r="R406" s="148"/>
      <c r="S406" s="148"/>
      <c r="T406" s="148"/>
      <c r="U406" s="148"/>
      <c r="V406" s="148"/>
      <c r="W406" s="14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/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</row>
    <row r="407" spans="1:55" x14ac:dyDescent="0.2">
      <c r="A407" s="148"/>
      <c r="B407" s="148"/>
      <c r="C407" s="148"/>
      <c r="D407" s="148"/>
      <c r="E407" s="148"/>
      <c r="F407" s="148"/>
      <c r="G407" s="148"/>
      <c r="H407" s="148"/>
      <c r="I407" s="148"/>
      <c r="J407" s="148"/>
      <c r="K407" s="148"/>
      <c r="L407" s="148"/>
      <c r="M407" s="148"/>
      <c r="N407" s="148"/>
      <c r="O407" s="148"/>
      <c r="P407" s="148"/>
      <c r="Q407" s="148"/>
      <c r="R407" s="148"/>
      <c r="S407" s="148"/>
      <c r="T407" s="148"/>
      <c r="U407" s="148"/>
      <c r="V407" s="148"/>
      <c r="W407" s="14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</row>
    <row r="408" spans="1:55" x14ac:dyDescent="0.2">
      <c r="A408" s="148"/>
      <c r="B408" s="148"/>
      <c r="C408" s="148"/>
      <c r="D408" s="148"/>
      <c r="E408" s="148"/>
      <c r="F408" s="148"/>
      <c r="G408" s="148"/>
      <c r="H408" s="148"/>
      <c r="I408" s="148"/>
      <c r="J408" s="148"/>
      <c r="K408" s="148"/>
      <c r="L408" s="148"/>
      <c r="M408" s="148"/>
      <c r="N408" s="148"/>
      <c r="O408" s="148"/>
      <c r="P408" s="148"/>
      <c r="Q408" s="148"/>
      <c r="R408" s="148"/>
      <c r="S408" s="148"/>
      <c r="T408" s="148"/>
      <c r="U408" s="148"/>
      <c r="V408" s="148"/>
      <c r="W408" s="14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</row>
    <row r="409" spans="1:55" x14ac:dyDescent="0.2">
      <c r="A409" s="148"/>
      <c r="B409" s="148"/>
      <c r="C409" s="148"/>
      <c r="D409" s="148"/>
      <c r="E409" s="148"/>
      <c r="F409" s="148"/>
      <c r="G409" s="148"/>
      <c r="H409" s="148"/>
      <c r="I409" s="148"/>
      <c r="J409" s="148"/>
      <c r="K409" s="148"/>
      <c r="L409" s="148"/>
      <c r="M409" s="148"/>
      <c r="N409" s="148"/>
      <c r="O409" s="148"/>
      <c r="P409" s="148"/>
      <c r="Q409" s="148"/>
      <c r="R409" s="148"/>
      <c r="S409" s="148"/>
      <c r="T409" s="148"/>
      <c r="U409" s="148"/>
      <c r="V409" s="148"/>
      <c r="W409" s="14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</row>
    <row r="410" spans="1:55" x14ac:dyDescent="0.2">
      <c r="A410" s="148"/>
      <c r="B410" s="148"/>
      <c r="C410" s="148"/>
      <c r="D410" s="148"/>
      <c r="E410" s="148"/>
      <c r="F410" s="148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</row>
    <row r="411" spans="1:55" x14ac:dyDescent="0.2">
      <c r="A411" s="148"/>
      <c r="B411" s="148"/>
      <c r="C411" s="148"/>
      <c r="D411" s="148"/>
      <c r="E411" s="148"/>
      <c r="F411" s="148"/>
      <c r="G411" s="148"/>
      <c r="H411" s="148"/>
      <c r="I411" s="148"/>
      <c r="J411" s="148"/>
      <c r="K411" s="148"/>
      <c r="L411" s="148"/>
      <c r="M411" s="148"/>
      <c r="N411" s="148"/>
      <c r="O411" s="148"/>
      <c r="P411" s="148"/>
      <c r="Q411" s="148"/>
      <c r="R411" s="148"/>
      <c r="S411" s="148"/>
      <c r="T411" s="148"/>
      <c r="U411" s="148"/>
      <c r="V411" s="148"/>
      <c r="W411" s="14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</row>
    <row r="412" spans="1:55" x14ac:dyDescent="0.2">
      <c r="A412" s="148"/>
      <c r="B412" s="148"/>
      <c r="C412" s="148"/>
      <c r="D412" s="148"/>
      <c r="E412" s="148"/>
      <c r="F412" s="148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48"/>
      <c r="S412" s="148"/>
      <c r="T412" s="148"/>
      <c r="U412" s="148"/>
      <c r="V412" s="148"/>
      <c r="W412" s="14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</row>
    <row r="413" spans="1:55" x14ac:dyDescent="0.2">
      <c r="A413" s="148"/>
      <c r="B413" s="148"/>
      <c r="C413" s="148"/>
      <c r="D413" s="148"/>
      <c r="E413" s="148"/>
      <c r="F413" s="148"/>
      <c r="G413" s="148"/>
      <c r="H413" s="148"/>
      <c r="I413" s="148"/>
      <c r="J413" s="148"/>
      <c r="K413" s="148"/>
      <c r="L413" s="148"/>
      <c r="M413" s="148"/>
      <c r="N413" s="148"/>
      <c r="O413" s="148"/>
      <c r="P413" s="148"/>
      <c r="Q413" s="148"/>
      <c r="R413" s="148"/>
      <c r="S413" s="148"/>
      <c r="T413" s="148"/>
      <c r="U413" s="148"/>
      <c r="V413" s="148"/>
      <c r="W413" s="14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</row>
    <row r="414" spans="1:55" x14ac:dyDescent="0.2">
      <c r="A414" s="148"/>
      <c r="B414" s="148"/>
      <c r="C414" s="148"/>
      <c r="D414" s="148"/>
      <c r="E414" s="148"/>
      <c r="F414" s="148"/>
      <c r="G414" s="148"/>
      <c r="H414" s="148"/>
      <c r="I414" s="148"/>
      <c r="J414" s="148"/>
      <c r="K414" s="148"/>
      <c r="L414" s="148"/>
      <c r="M414" s="148"/>
      <c r="N414" s="148"/>
      <c r="O414" s="148"/>
      <c r="P414" s="148"/>
      <c r="Q414" s="148"/>
      <c r="R414" s="148"/>
      <c r="S414" s="148"/>
      <c r="T414" s="148"/>
      <c r="U414" s="148"/>
      <c r="V414" s="148"/>
      <c r="W414" s="14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</row>
    <row r="415" spans="1:55" x14ac:dyDescent="0.2">
      <c r="A415" s="148"/>
      <c r="B415" s="148"/>
      <c r="C415" s="148"/>
      <c r="D415" s="148"/>
      <c r="E415" s="148"/>
      <c r="F415" s="148"/>
      <c r="G415" s="148"/>
      <c r="H415" s="148"/>
      <c r="I415" s="148"/>
      <c r="J415" s="148"/>
      <c r="K415" s="148"/>
      <c r="L415" s="148"/>
      <c r="M415" s="148"/>
      <c r="N415" s="148"/>
      <c r="O415" s="148"/>
      <c r="P415" s="148"/>
      <c r="Q415" s="148"/>
      <c r="R415" s="148"/>
      <c r="S415" s="148"/>
      <c r="T415" s="148"/>
      <c r="U415" s="148"/>
      <c r="V415" s="148"/>
      <c r="W415" s="14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/>
      <c r="AH415" s="148"/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</row>
    <row r="416" spans="1:55" x14ac:dyDescent="0.2">
      <c r="A416" s="148"/>
      <c r="B416" s="148"/>
      <c r="C416" s="148"/>
      <c r="D416" s="148"/>
      <c r="E416" s="148"/>
      <c r="F416" s="148"/>
      <c r="G416" s="148"/>
      <c r="H416" s="148"/>
      <c r="I416" s="148"/>
      <c r="J416" s="148"/>
      <c r="K416" s="148"/>
      <c r="L416" s="148"/>
      <c r="M416" s="148"/>
      <c r="N416" s="148"/>
      <c r="O416" s="148"/>
      <c r="P416" s="148"/>
      <c r="Q416" s="148"/>
      <c r="R416" s="148"/>
      <c r="S416" s="148"/>
      <c r="T416" s="148"/>
      <c r="U416" s="148"/>
      <c r="V416" s="148"/>
      <c r="W416" s="14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</row>
    <row r="417" spans="1:55" x14ac:dyDescent="0.2">
      <c r="A417" s="148"/>
      <c r="B417" s="148"/>
      <c r="C417" s="148"/>
      <c r="D417" s="148"/>
      <c r="E417" s="148"/>
      <c r="F417" s="148"/>
      <c r="G417" s="148"/>
      <c r="H417" s="148"/>
      <c r="I417" s="148"/>
      <c r="J417" s="148"/>
      <c r="K417" s="148"/>
      <c r="L417" s="148"/>
      <c r="M417" s="148"/>
      <c r="N417" s="148"/>
      <c r="O417" s="148"/>
      <c r="P417" s="148"/>
      <c r="Q417" s="148"/>
      <c r="R417" s="148"/>
      <c r="S417" s="148"/>
      <c r="T417" s="148"/>
      <c r="U417" s="148"/>
      <c r="V417" s="148"/>
      <c r="W417" s="14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/>
      <c r="AH417" s="148"/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</row>
    <row r="418" spans="1:55" x14ac:dyDescent="0.2">
      <c r="A418" s="148"/>
      <c r="B418" s="148"/>
      <c r="C418" s="148"/>
      <c r="D418" s="148"/>
      <c r="E418" s="148"/>
      <c r="F418" s="148"/>
      <c r="G418" s="148"/>
      <c r="H418" s="148"/>
      <c r="I418" s="148"/>
      <c r="J418" s="148"/>
      <c r="K418" s="148"/>
      <c r="L418" s="148"/>
      <c r="M418" s="148"/>
      <c r="N418" s="148"/>
      <c r="O418" s="148"/>
      <c r="P418" s="148"/>
      <c r="Q418" s="148"/>
      <c r="R418" s="148"/>
      <c r="S418" s="148"/>
      <c r="T418" s="148"/>
      <c r="U418" s="148"/>
      <c r="V418" s="148"/>
      <c r="W418" s="14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/>
      <c r="AH418" s="148"/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</row>
    <row r="419" spans="1:55" x14ac:dyDescent="0.2">
      <c r="A419" s="148"/>
      <c r="B419" s="148"/>
      <c r="C419" s="148"/>
      <c r="D419" s="148"/>
      <c r="E419" s="148"/>
      <c r="F419" s="148"/>
      <c r="G419" s="148"/>
      <c r="H419" s="148"/>
      <c r="I419" s="148"/>
      <c r="J419" s="148"/>
      <c r="K419" s="148"/>
      <c r="L419" s="148"/>
      <c r="M419" s="148"/>
      <c r="N419" s="148"/>
      <c r="O419" s="148"/>
      <c r="P419" s="148"/>
      <c r="Q419" s="148"/>
      <c r="R419" s="148"/>
      <c r="S419" s="148"/>
      <c r="T419" s="148"/>
      <c r="U419" s="148"/>
      <c r="V419" s="148"/>
      <c r="W419" s="14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/>
      <c r="AH419" s="148"/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</row>
    <row r="420" spans="1:55" x14ac:dyDescent="0.2">
      <c r="A420" s="148"/>
      <c r="B420" s="148"/>
      <c r="C420" s="148"/>
      <c r="D420" s="148"/>
      <c r="E420" s="148"/>
      <c r="F420" s="148"/>
      <c r="G420" s="148"/>
      <c r="H420" s="148"/>
      <c r="I420" s="148"/>
      <c r="J420" s="148"/>
      <c r="K420" s="148"/>
      <c r="L420" s="148"/>
      <c r="M420" s="148"/>
      <c r="N420" s="148"/>
      <c r="O420" s="148"/>
      <c r="P420" s="148"/>
      <c r="Q420" s="148"/>
      <c r="R420" s="148"/>
      <c r="S420" s="148"/>
      <c r="T420" s="148"/>
      <c r="U420" s="148"/>
      <c r="V420" s="148"/>
      <c r="W420" s="14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/>
      <c r="AH420" s="148"/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</row>
    <row r="421" spans="1:55" x14ac:dyDescent="0.2">
      <c r="A421" s="148"/>
      <c r="B421" s="148"/>
      <c r="C421" s="148"/>
      <c r="D421" s="148"/>
      <c r="E421" s="148"/>
      <c r="F421" s="148"/>
      <c r="G421" s="148"/>
      <c r="H421" s="148"/>
      <c r="I421" s="148"/>
      <c r="J421" s="148"/>
      <c r="K421" s="148"/>
      <c r="L421" s="148"/>
      <c r="M421" s="148"/>
      <c r="N421" s="148"/>
      <c r="O421" s="148"/>
      <c r="P421" s="148"/>
      <c r="Q421" s="148"/>
      <c r="R421" s="148"/>
      <c r="S421" s="148"/>
      <c r="T421" s="148"/>
      <c r="U421" s="148"/>
      <c r="V421" s="148"/>
      <c r="W421" s="148"/>
      <c r="X421" s="148"/>
      <c r="Y421" s="148"/>
      <c r="Z421" s="148"/>
      <c r="AA421" s="148"/>
      <c r="AB421" s="148"/>
      <c r="AC421" s="148"/>
      <c r="AD421" s="148"/>
      <c r="AE421" s="148"/>
      <c r="AF421" s="148"/>
      <c r="AG421" s="148"/>
      <c r="AH421" s="148"/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</row>
    <row r="422" spans="1:55" x14ac:dyDescent="0.2">
      <c r="A422" s="148"/>
      <c r="B422" s="148"/>
      <c r="C422" s="148"/>
      <c r="D422" s="148"/>
      <c r="E422" s="148"/>
      <c r="F422" s="148"/>
      <c r="G422" s="148"/>
      <c r="H422" s="148"/>
      <c r="I422" s="148"/>
      <c r="J422" s="148"/>
      <c r="K422" s="148"/>
      <c r="L422" s="148"/>
      <c r="M422" s="148"/>
      <c r="N422" s="148"/>
      <c r="O422" s="148"/>
      <c r="P422" s="148"/>
      <c r="Q422" s="148"/>
      <c r="R422" s="148"/>
      <c r="S422" s="148"/>
      <c r="T422" s="148"/>
      <c r="U422" s="148"/>
      <c r="V422" s="148"/>
      <c r="W422" s="14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/>
      <c r="AH422" s="148"/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</row>
    <row r="423" spans="1:55" x14ac:dyDescent="0.2">
      <c r="A423" s="148"/>
      <c r="B423" s="148"/>
      <c r="C423" s="148"/>
      <c r="D423" s="148"/>
      <c r="E423" s="148"/>
      <c r="F423" s="148"/>
      <c r="G423" s="148"/>
      <c r="H423" s="148"/>
      <c r="I423" s="148"/>
      <c r="J423" s="148"/>
      <c r="K423" s="148"/>
      <c r="L423" s="148"/>
      <c r="M423" s="148"/>
      <c r="N423" s="148"/>
      <c r="O423" s="148"/>
      <c r="P423" s="148"/>
      <c r="Q423" s="148"/>
      <c r="R423" s="148"/>
      <c r="S423" s="148"/>
      <c r="T423" s="148"/>
      <c r="U423" s="148"/>
      <c r="V423" s="148"/>
      <c r="W423" s="148"/>
      <c r="X423" s="148"/>
      <c r="Y423" s="148"/>
      <c r="Z423" s="148"/>
      <c r="AA423" s="148"/>
      <c r="AB423" s="148"/>
      <c r="AC423" s="148"/>
      <c r="AD423" s="148"/>
      <c r="AE423" s="148"/>
      <c r="AF423" s="148"/>
      <c r="AG423" s="148"/>
      <c r="AH423" s="148"/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</row>
    <row r="424" spans="1:55" x14ac:dyDescent="0.2">
      <c r="A424" s="148"/>
      <c r="B424" s="148"/>
      <c r="C424" s="148"/>
      <c r="D424" s="148"/>
      <c r="E424" s="148"/>
      <c r="F424" s="148"/>
      <c r="G424" s="148"/>
      <c r="H424" s="148"/>
      <c r="I424" s="148"/>
      <c r="J424" s="148"/>
      <c r="K424" s="148"/>
      <c r="L424" s="148"/>
      <c r="M424" s="148"/>
      <c r="N424" s="148"/>
      <c r="O424" s="148"/>
      <c r="P424" s="148"/>
      <c r="Q424" s="148"/>
      <c r="R424" s="148"/>
      <c r="S424" s="148"/>
      <c r="T424" s="148"/>
      <c r="U424" s="148"/>
      <c r="V424" s="148"/>
      <c r="W424" s="148"/>
      <c r="X424" s="148"/>
      <c r="Y424" s="148"/>
      <c r="Z424" s="148"/>
      <c r="AA424" s="148"/>
      <c r="AB424" s="148"/>
      <c r="AC424" s="148"/>
      <c r="AD424" s="148"/>
      <c r="AE424" s="148"/>
      <c r="AF424" s="148"/>
      <c r="AG424" s="148"/>
      <c r="AH424" s="148"/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</row>
    <row r="425" spans="1:55" x14ac:dyDescent="0.2">
      <c r="A425" s="148"/>
      <c r="B425" s="148"/>
      <c r="C425" s="148"/>
      <c r="D425" s="148"/>
      <c r="E425" s="148"/>
      <c r="F425" s="148"/>
      <c r="G425" s="148"/>
      <c r="H425" s="148"/>
      <c r="I425" s="148"/>
      <c r="J425" s="148"/>
      <c r="K425" s="148"/>
      <c r="L425" s="148"/>
      <c r="M425" s="148"/>
      <c r="N425" s="148"/>
      <c r="O425" s="148"/>
      <c r="P425" s="148"/>
      <c r="Q425" s="148"/>
      <c r="R425" s="148"/>
      <c r="S425" s="148"/>
      <c r="T425" s="148"/>
      <c r="U425" s="148"/>
      <c r="V425" s="148"/>
      <c r="W425" s="14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/>
      <c r="AH425" s="148"/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</row>
    <row r="426" spans="1:55" x14ac:dyDescent="0.2">
      <c r="A426" s="148"/>
      <c r="B426" s="148"/>
      <c r="C426" s="148"/>
      <c r="D426" s="148"/>
      <c r="E426" s="148"/>
      <c r="F426" s="148"/>
      <c r="G426" s="148"/>
      <c r="H426" s="148"/>
      <c r="I426" s="148"/>
      <c r="J426" s="148"/>
      <c r="K426" s="148"/>
      <c r="L426" s="148"/>
      <c r="M426" s="148"/>
      <c r="N426" s="148"/>
      <c r="O426" s="148"/>
      <c r="P426" s="148"/>
      <c r="Q426" s="148"/>
      <c r="R426" s="148"/>
      <c r="S426" s="148"/>
      <c r="T426" s="148"/>
      <c r="U426" s="148"/>
      <c r="V426" s="148"/>
      <c r="W426" s="14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</row>
    <row r="427" spans="1:55" x14ac:dyDescent="0.2">
      <c r="A427" s="148"/>
      <c r="B427" s="148"/>
      <c r="C427" s="148"/>
      <c r="D427" s="148"/>
      <c r="E427" s="148"/>
      <c r="F427" s="148"/>
      <c r="G427" s="148"/>
      <c r="H427" s="148"/>
      <c r="I427" s="148"/>
      <c r="J427" s="148"/>
      <c r="K427" s="148"/>
      <c r="L427" s="148"/>
      <c r="M427" s="148"/>
      <c r="N427" s="148"/>
      <c r="O427" s="148"/>
      <c r="P427" s="148"/>
      <c r="Q427" s="148"/>
      <c r="R427" s="148"/>
      <c r="S427" s="148"/>
      <c r="T427" s="148"/>
      <c r="U427" s="148"/>
      <c r="V427" s="148"/>
      <c r="W427" s="14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</row>
    <row r="428" spans="1:55" x14ac:dyDescent="0.2">
      <c r="A428" s="148"/>
      <c r="B428" s="148"/>
      <c r="C428" s="148"/>
      <c r="D428" s="148"/>
      <c r="E428" s="148"/>
      <c r="F428" s="148"/>
      <c r="G428" s="148"/>
      <c r="H428" s="148"/>
      <c r="I428" s="148"/>
      <c r="J428" s="148"/>
      <c r="K428" s="148"/>
      <c r="L428" s="148"/>
      <c r="M428" s="148"/>
      <c r="N428" s="148"/>
      <c r="O428" s="148"/>
      <c r="P428" s="148"/>
      <c r="Q428" s="148"/>
      <c r="R428" s="148"/>
      <c r="S428" s="148"/>
      <c r="T428" s="148"/>
      <c r="U428" s="148"/>
      <c r="V428" s="148"/>
      <c r="W428" s="14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</row>
    <row r="429" spans="1:55" x14ac:dyDescent="0.2">
      <c r="A429" s="148"/>
      <c r="B429" s="148"/>
      <c r="C429" s="148"/>
      <c r="D429" s="148"/>
      <c r="E429" s="148"/>
      <c r="F429" s="148"/>
      <c r="G429" s="148"/>
      <c r="H429" s="148"/>
      <c r="I429" s="148"/>
      <c r="J429" s="148"/>
      <c r="K429" s="148"/>
      <c r="L429" s="148"/>
      <c r="M429" s="148"/>
      <c r="N429" s="148"/>
      <c r="O429" s="148"/>
      <c r="P429" s="148"/>
      <c r="Q429" s="148"/>
      <c r="R429" s="148"/>
      <c r="S429" s="148"/>
      <c r="T429" s="148"/>
      <c r="U429" s="148"/>
      <c r="V429" s="148"/>
      <c r="W429" s="14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</row>
    <row r="430" spans="1:55" x14ac:dyDescent="0.2">
      <c r="A430" s="148"/>
      <c r="B430" s="148"/>
      <c r="C430" s="148"/>
      <c r="D430" s="148"/>
      <c r="E430" s="148"/>
      <c r="F430" s="148"/>
      <c r="G430" s="148"/>
      <c r="H430" s="148"/>
      <c r="I430" s="148"/>
      <c r="J430" s="148"/>
      <c r="K430" s="148"/>
      <c r="L430" s="148"/>
      <c r="M430" s="148"/>
      <c r="N430" s="148"/>
      <c r="O430" s="148"/>
      <c r="P430" s="148"/>
      <c r="Q430" s="148"/>
      <c r="R430" s="148"/>
      <c r="S430" s="148"/>
      <c r="T430" s="148"/>
      <c r="U430" s="148"/>
      <c r="V430" s="148"/>
      <c r="W430" s="14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</row>
    <row r="431" spans="1:55" x14ac:dyDescent="0.2">
      <c r="A431" s="148"/>
      <c r="B431" s="148"/>
      <c r="C431" s="148"/>
      <c r="D431" s="148"/>
      <c r="E431" s="148"/>
      <c r="F431" s="148"/>
      <c r="G431" s="148"/>
      <c r="H431" s="148"/>
      <c r="I431" s="148"/>
      <c r="J431" s="148"/>
      <c r="K431" s="148"/>
      <c r="L431" s="148"/>
      <c r="M431" s="148"/>
      <c r="N431" s="148"/>
      <c r="O431" s="148"/>
      <c r="P431" s="148"/>
      <c r="Q431" s="148"/>
      <c r="R431" s="148"/>
      <c r="S431" s="148"/>
      <c r="T431" s="148"/>
      <c r="U431" s="148"/>
      <c r="V431" s="148"/>
      <c r="W431" s="14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</row>
    <row r="432" spans="1:55" x14ac:dyDescent="0.2">
      <c r="A432" s="148"/>
      <c r="B432" s="148"/>
      <c r="C432" s="148"/>
      <c r="D432" s="148"/>
      <c r="E432" s="148"/>
      <c r="F432" s="148"/>
      <c r="G432" s="148"/>
      <c r="H432" s="148"/>
      <c r="I432" s="148"/>
      <c r="J432" s="148"/>
      <c r="K432" s="148"/>
      <c r="L432" s="148"/>
      <c r="M432" s="148"/>
      <c r="N432" s="148"/>
      <c r="O432" s="148"/>
      <c r="P432" s="148"/>
      <c r="Q432" s="148"/>
      <c r="R432" s="148"/>
      <c r="S432" s="148"/>
      <c r="T432" s="148"/>
      <c r="U432" s="148"/>
      <c r="V432" s="148"/>
      <c r="W432" s="14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</row>
    <row r="433" spans="1:55" x14ac:dyDescent="0.2">
      <c r="A433" s="148"/>
      <c r="B433" s="148"/>
      <c r="C433" s="148"/>
      <c r="D433" s="148"/>
      <c r="E433" s="148"/>
      <c r="F433" s="148"/>
      <c r="G433" s="148"/>
      <c r="H433" s="148"/>
      <c r="I433" s="148"/>
      <c r="J433" s="148"/>
      <c r="K433" s="148"/>
      <c r="L433" s="148"/>
      <c r="M433" s="148"/>
      <c r="N433" s="148"/>
      <c r="O433" s="148"/>
      <c r="P433" s="148"/>
      <c r="Q433" s="148"/>
      <c r="R433" s="148"/>
      <c r="S433" s="148"/>
      <c r="T433" s="148"/>
      <c r="U433" s="148"/>
      <c r="V433" s="148"/>
      <c r="W433" s="14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</row>
    <row r="434" spans="1:55" x14ac:dyDescent="0.2">
      <c r="A434" s="148"/>
      <c r="B434" s="148"/>
      <c r="C434" s="148"/>
      <c r="D434" s="148"/>
      <c r="E434" s="148"/>
      <c r="F434" s="148"/>
      <c r="G434" s="148"/>
      <c r="H434" s="148"/>
      <c r="I434" s="148"/>
      <c r="J434" s="148"/>
      <c r="K434" s="148"/>
      <c r="L434" s="148"/>
      <c r="M434" s="148"/>
      <c r="N434" s="148"/>
      <c r="O434" s="148"/>
      <c r="P434" s="148"/>
      <c r="Q434" s="148"/>
      <c r="R434" s="148"/>
      <c r="S434" s="148"/>
      <c r="T434" s="148"/>
      <c r="U434" s="148"/>
      <c r="V434" s="148"/>
      <c r="W434" s="14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</row>
    <row r="435" spans="1:55" x14ac:dyDescent="0.2">
      <c r="A435" s="148"/>
      <c r="B435" s="148"/>
      <c r="C435" s="148"/>
      <c r="D435" s="148"/>
      <c r="E435" s="148"/>
      <c r="F435" s="148"/>
      <c r="G435" s="148"/>
      <c r="H435" s="148"/>
      <c r="I435" s="148"/>
      <c r="J435" s="148"/>
      <c r="K435" s="148"/>
      <c r="L435" s="148"/>
      <c r="M435" s="148"/>
      <c r="N435" s="148"/>
      <c r="O435" s="148"/>
      <c r="P435" s="148"/>
      <c r="Q435" s="148"/>
      <c r="R435" s="148"/>
      <c r="S435" s="148"/>
      <c r="T435" s="148"/>
      <c r="U435" s="148"/>
      <c r="V435" s="148"/>
      <c r="W435" s="14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</row>
    <row r="436" spans="1:55" x14ac:dyDescent="0.2">
      <c r="A436" s="148"/>
      <c r="B436" s="148"/>
      <c r="C436" s="148"/>
      <c r="D436" s="148"/>
      <c r="E436" s="148"/>
      <c r="F436" s="148"/>
      <c r="G436" s="148"/>
      <c r="H436" s="148"/>
      <c r="I436" s="148"/>
      <c r="J436" s="148"/>
      <c r="K436" s="148"/>
      <c r="L436" s="148"/>
      <c r="M436" s="148"/>
      <c r="N436" s="148"/>
      <c r="O436" s="148"/>
      <c r="P436" s="148"/>
      <c r="Q436" s="148"/>
      <c r="R436" s="148"/>
      <c r="S436" s="148"/>
      <c r="T436" s="148"/>
      <c r="U436" s="148"/>
      <c r="V436" s="148"/>
      <c r="W436" s="14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</row>
    <row r="437" spans="1:55" x14ac:dyDescent="0.2">
      <c r="A437" s="148"/>
      <c r="B437" s="148"/>
      <c r="C437" s="148"/>
      <c r="D437" s="148"/>
      <c r="E437" s="148"/>
      <c r="F437" s="148"/>
      <c r="G437" s="148"/>
      <c r="H437" s="148"/>
      <c r="I437" s="148"/>
      <c r="J437" s="148"/>
      <c r="K437" s="148"/>
      <c r="L437" s="148"/>
      <c r="M437" s="148"/>
      <c r="N437" s="148"/>
      <c r="O437" s="148"/>
      <c r="P437" s="148"/>
      <c r="Q437" s="148"/>
      <c r="R437" s="148"/>
      <c r="S437" s="148"/>
      <c r="T437" s="148"/>
      <c r="U437" s="148"/>
      <c r="V437" s="148"/>
      <c r="W437" s="148"/>
      <c r="X437" s="148"/>
      <c r="Y437" s="148"/>
      <c r="Z437" s="148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</row>
    <row r="438" spans="1:55" x14ac:dyDescent="0.2">
      <c r="A438" s="148"/>
      <c r="B438" s="148"/>
      <c r="C438" s="148"/>
      <c r="D438" s="148"/>
      <c r="E438" s="148"/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48"/>
      <c r="Q438" s="148"/>
      <c r="R438" s="148"/>
      <c r="S438" s="148"/>
      <c r="T438" s="148"/>
      <c r="U438" s="148"/>
      <c r="V438" s="148"/>
      <c r="W438" s="14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</row>
    <row r="439" spans="1:55" x14ac:dyDescent="0.2">
      <c r="A439" s="148"/>
      <c r="B439" s="148"/>
      <c r="C439" s="148"/>
      <c r="D439" s="148"/>
      <c r="E439" s="148"/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48"/>
      <c r="Q439" s="148"/>
      <c r="R439" s="148"/>
      <c r="S439" s="148"/>
      <c r="T439" s="148"/>
      <c r="U439" s="148"/>
      <c r="V439" s="148"/>
      <c r="W439" s="14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</row>
    <row r="440" spans="1:55" x14ac:dyDescent="0.2">
      <c r="A440" s="148"/>
      <c r="B440" s="148"/>
      <c r="C440" s="148"/>
      <c r="D440" s="148"/>
      <c r="E440" s="148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148"/>
      <c r="R440" s="148"/>
      <c r="S440" s="148"/>
      <c r="T440" s="148"/>
      <c r="U440" s="148"/>
      <c r="V440" s="148"/>
      <c r="W440" s="14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/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</row>
    <row r="441" spans="1:55" x14ac:dyDescent="0.2">
      <c r="A441" s="148"/>
      <c r="B441" s="148"/>
      <c r="C441" s="148"/>
      <c r="D441" s="148"/>
      <c r="E441" s="148"/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148"/>
      <c r="R441" s="148"/>
      <c r="S441" s="148"/>
      <c r="T441" s="148"/>
      <c r="U441" s="148"/>
      <c r="V441" s="148"/>
      <c r="W441" s="14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/>
      <c r="AH441" s="148"/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</row>
    <row r="442" spans="1:55" x14ac:dyDescent="0.2">
      <c r="A442" s="148"/>
      <c r="B442" s="148"/>
      <c r="C442" s="148"/>
      <c r="D442" s="148"/>
      <c r="E442" s="148"/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48"/>
      <c r="R442" s="148"/>
      <c r="S442" s="148"/>
      <c r="T442" s="148"/>
      <c r="U442" s="148"/>
      <c r="V442" s="148"/>
      <c r="W442" s="14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/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</row>
    <row r="443" spans="1:55" x14ac:dyDescent="0.2">
      <c r="A443" s="148"/>
      <c r="B443" s="148"/>
      <c r="C443" s="148"/>
      <c r="D443" s="148"/>
      <c r="E443" s="148"/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  <c r="Q443" s="148"/>
      <c r="R443" s="148"/>
      <c r="S443" s="148"/>
      <c r="T443" s="148"/>
      <c r="U443" s="148"/>
      <c r="V443" s="148"/>
      <c r="W443" s="14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/>
      <c r="AH443" s="148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</row>
    <row r="444" spans="1:55" x14ac:dyDescent="0.2">
      <c r="A444" s="148"/>
      <c r="B444" s="148"/>
      <c r="C444" s="148"/>
      <c r="D444" s="148"/>
      <c r="E444" s="148"/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48"/>
      <c r="Q444" s="148"/>
      <c r="R444" s="148"/>
      <c r="S444" s="148"/>
      <c r="T444" s="148"/>
      <c r="U444" s="148"/>
      <c r="V444" s="148"/>
      <c r="W444" s="14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/>
      <c r="AH444" s="148"/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</row>
    <row r="445" spans="1:55" x14ac:dyDescent="0.2">
      <c r="A445" s="148"/>
      <c r="B445" s="148"/>
      <c r="C445" s="148"/>
      <c r="D445" s="148"/>
      <c r="E445" s="148"/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48"/>
      <c r="R445" s="148"/>
      <c r="S445" s="148"/>
      <c r="T445" s="148"/>
      <c r="U445" s="148"/>
      <c r="V445" s="148"/>
      <c r="W445" s="14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</row>
    <row r="446" spans="1:55" x14ac:dyDescent="0.2">
      <c r="A446" s="148"/>
      <c r="B446" s="148"/>
      <c r="C446" s="148"/>
      <c r="D446" s="148"/>
      <c r="E446" s="148"/>
      <c r="F446" s="148"/>
      <c r="G446" s="148"/>
      <c r="H446" s="148"/>
      <c r="I446" s="148"/>
      <c r="J446" s="148"/>
      <c r="K446" s="148"/>
      <c r="L446" s="148"/>
      <c r="M446" s="148"/>
      <c r="N446" s="148"/>
      <c r="O446" s="148"/>
      <c r="P446" s="148"/>
      <c r="Q446" s="148"/>
      <c r="R446" s="148"/>
      <c r="S446" s="148"/>
      <c r="T446" s="148"/>
      <c r="U446" s="148"/>
      <c r="V446" s="148"/>
      <c r="W446" s="14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</row>
    <row r="447" spans="1:55" x14ac:dyDescent="0.2">
      <c r="A447" s="148"/>
      <c r="B447" s="148"/>
      <c r="C447" s="148"/>
      <c r="D447" s="148"/>
      <c r="E447" s="148"/>
      <c r="F447" s="148"/>
      <c r="G447" s="148"/>
      <c r="H447" s="148"/>
      <c r="I447" s="148"/>
      <c r="J447" s="148"/>
      <c r="K447" s="148"/>
      <c r="L447" s="148"/>
      <c r="M447" s="148"/>
      <c r="N447" s="148"/>
      <c r="O447" s="148"/>
      <c r="P447" s="148"/>
      <c r="Q447" s="148"/>
      <c r="R447" s="148"/>
      <c r="S447" s="148"/>
      <c r="T447" s="148"/>
      <c r="U447" s="148"/>
      <c r="V447" s="148"/>
      <c r="W447" s="148"/>
      <c r="X447" s="148"/>
      <c r="Y447" s="148"/>
      <c r="Z447" s="148"/>
      <c r="AA447" s="148"/>
      <c r="AB447" s="148"/>
      <c r="AC447" s="148"/>
      <c r="AD447" s="148"/>
      <c r="AE447" s="148"/>
      <c r="AF447" s="148"/>
      <c r="AG447" s="148"/>
      <c r="AH447" s="148"/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</row>
    <row r="448" spans="1:55" x14ac:dyDescent="0.2">
      <c r="A448" s="148"/>
      <c r="B448" s="148"/>
      <c r="C448" s="148"/>
      <c r="D448" s="148"/>
      <c r="E448" s="148"/>
      <c r="F448" s="148"/>
      <c r="G448" s="148"/>
      <c r="H448" s="148"/>
      <c r="I448" s="148"/>
      <c r="J448" s="148"/>
      <c r="K448" s="148"/>
      <c r="L448" s="148"/>
      <c r="M448" s="148"/>
      <c r="N448" s="148"/>
      <c r="O448" s="148"/>
      <c r="P448" s="148"/>
      <c r="Q448" s="148"/>
      <c r="R448" s="148"/>
      <c r="S448" s="148"/>
      <c r="T448" s="148"/>
      <c r="U448" s="148"/>
      <c r="V448" s="148"/>
      <c r="W448" s="148"/>
      <c r="X448" s="148"/>
      <c r="Y448" s="148"/>
      <c r="Z448" s="148"/>
      <c r="AA448" s="148"/>
      <c r="AB448" s="148"/>
      <c r="AC448" s="148"/>
      <c r="AD448" s="148"/>
      <c r="AE448" s="148"/>
      <c r="AF448" s="148"/>
      <c r="AG448" s="148"/>
      <c r="AH448" s="148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</row>
    <row r="449" spans="1:55" x14ac:dyDescent="0.2">
      <c r="A449" s="148"/>
      <c r="B449" s="148"/>
      <c r="C449" s="148"/>
      <c r="D449" s="148"/>
      <c r="E449" s="148"/>
      <c r="F449" s="148"/>
      <c r="G449" s="148"/>
      <c r="H449" s="148"/>
      <c r="I449" s="148"/>
      <c r="J449" s="148"/>
      <c r="K449" s="148"/>
      <c r="L449" s="148"/>
      <c r="M449" s="148"/>
      <c r="N449" s="148"/>
      <c r="O449" s="148"/>
      <c r="P449" s="148"/>
      <c r="Q449" s="148"/>
      <c r="R449" s="148"/>
      <c r="S449" s="148"/>
      <c r="T449" s="148"/>
      <c r="U449" s="148"/>
      <c r="V449" s="148"/>
      <c r="W449" s="14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/>
      <c r="AH449" s="148"/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</row>
    <row r="450" spans="1:55" x14ac:dyDescent="0.2">
      <c r="A450" s="148"/>
      <c r="B450" s="148"/>
      <c r="C450" s="148"/>
      <c r="D450" s="148"/>
      <c r="E450" s="148"/>
      <c r="F450" s="148"/>
      <c r="G450" s="148"/>
      <c r="H450" s="148"/>
      <c r="I450" s="148"/>
      <c r="J450" s="148"/>
      <c r="K450" s="148"/>
      <c r="L450" s="148"/>
      <c r="M450" s="148"/>
      <c r="N450" s="148"/>
      <c r="O450" s="148"/>
      <c r="P450" s="148"/>
      <c r="Q450" s="148"/>
      <c r="R450" s="148"/>
      <c r="S450" s="148"/>
      <c r="T450" s="148"/>
      <c r="U450" s="148"/>
      <c r="V450" s="148"/>
      <c r="W450" s="14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/>
      <c r="AH450" s="148"/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</row>
    <row r="451" spans="1:55" x14ac:dyDescent="0.2">
      <c r="A451" s="148"/>
      <c r="B451" s="148"/>
      <c r="C451" s="148"/>
      <c r="D451" s="148"/>
      <c r="E451" s="148"/>
      <c r="F451" s="148"/>
      <c r="G451" s="148"/>
      <c r="H451" s="148"/>
      <c r="I451" s="148"/>
      <c r="J451" s="148"/>
      <c r="K451" s="148"/>
      <c r="L451" s="148"/>
      <c r="M451" s="148"/>
      <c r="N451" s="148"/>
      <c r="O451" s="148"/>
      <c r="P451" s="148"/>
      <c r="Q451" s="148"/>
      <c r="R451" s="148"/>
      <c r="S451" s="148"/>
      <c r="T451" s="148"/>
      <c r="U451" s="148"/>
      <c r="V451" s="148"/>
      <c r="W451" s="148"/>
      <c r="X451" s="148"/>
      <c r="Y451" s="148"/>
      <c r="Z451" s="148"/>
      <c r="AA451" s="148"/>
      <c r="AB451" s="148"/>
      <c r="AC451" s="148"/>
      <c r="AD451" s="148"/>
      <c r="AE451" s="148"/>
      <c r="AF451" s="148"/>
      <c r="AG451" s="148"/>
      <c r="AH451" s="148"/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</row>
    <row r="452" spans="1:55" x14ac:dyDescent="0.2">
      <c r="A452" s="148"/>
      <c r="B452" s="148"/>
      <c r="C452" s="148"/>
      <c r="D452" s="148"/>
      <c r="E452" s="148"/>
      <c r="F452" s="148"/>
      <c r="G452" s="148"/>
      <c r="H452" s="148"/>
      <c r="I452" s="148"/>
      <c r="J452" s="148"/>
      <c r="K452" s="148"/>
      <c r="L452" s="148"/>
      <c r="M452" s="148"/>
      <c r="N452" s="148"/>
      <c r="O452" s="148"/>
      <c r="P452" s="148"/>
      <c r="Q452" s="148"/>
      <c r="R452" s="148"/>
      <c r="S452" s="148"/>
      <c r="T452" s="148"/>
      <c r="U452" s="148"/>
      <c r="V452" s="148"/>
      <c r="W452" s="14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/>
      <c r="AH452" s="148"/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</row>
    <row r="453" spans="1:55" x14ac:dyDescent="0.2">
      <c r="A453" s="148"/>
      <c r="B453" s="148"/>
      <c r="C453" s="148"/>
      <c r="D453" s="148"/>
      <c r="E453" s="148"/>
      <c r="F453" s="148"/>
      <c r="G453" s="148"/>
      <c r="H453" s="148"/>
      <c r="I453" s="148"/>
      <c r="J453" s="148"/>
      <c r="K453" s="148"/>
      <c r="L453" s="148"/>
      <c r="M453" s="148"/>
      <c r="N453" s="148"/>
      <c r="O453" s="148"/>
      <c r="P453" s="148"/>
      <c r="Q453" s="148"/>
      <c r="R453" s="148"/>
      <c r="S453" s="148"/>
      <c r="T453" s="148"/>
      <c r="U453" s="148"/>
      <c r="V453" s="148"/>
      <c r="W453" s="148"/>
      <c r="X453" s="148"/>
      <c r="Y453" s="148"/>
      <c r="Z453" s="148"/>
      <c r="AA453" s="148"/>
      <c r="AB453" s="148"/>
      <c r="AC453" s="148"/>
      <c r="AD453" s="148"/>
      <c r="AE453" s="148"/>
      <c r="AF453" s="148"/>
      <c r="AG453" s="148"/>
      <c r="AH453" s="148"/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</row>
    <row r="454" spans="1:55" x14ac:dyDescent="0.2">
      <c r="A454" s="148"/>
      <c r="B454" s="148"/>
      <c r="C454" s="148"/>
      <c r="D454" s="148"/>
      <c r="E454" s="148"/>
      <c r="F454" s="148"/>
      <c r="G454" s="148"/>
      <c r="H454" s="148"/>
      <c r="I454" s="148"/>
      <c r="J454" s="148"/>
      <c r="K454" s="148"/>
      <c r="L454" s="148"/>
      <c r="M454" s="148"/>
      <c r="N454" s="148"/>
      <c r="O454" s="148"/>
      <c r="P454" s="148"/>
      <c r="Q454" s="148"/>
      <c r="R454" s="148"/>
      <c r="S454" s="148"/>
      <c r="T454" s="148"/>
      <c r="U454" s="148"/>
      <c r="V454" s="148"/>
      <c r="W454" s="14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/>
      <c r="AH454" s="148"/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</row>
    <row r="455" spans="1:55" x14ac:dyDescent="0.2">
      <c r="A455" s="148"/>
      <c r="B455" s="148"/>
      <c r="C455" s="148"/>
      <c r="D455" s="148"/>
      <c r="E455" s="148"/>
      <c r="F455" s="148"/>
      <c r="G455" s="148"/>
      <c r="H455" s="148"/>
      <c r="I455" s="148"/>
      <c r="J455" s="148"/>
      <c r="K455" s="148"/>
      <c r="L455" s="148"/>
      <c r="M455" s="148"/>
      <c r="N455" s="148"/>
      <c r="O455" s="148"/>
      <c r="P455" s="148"/>
      <c r="Q455" s="148"/>
      <c r="R455" s="148"/>
      <c r="S455" s="148"/>
      <c r="T455" s="148"/>
      <c r="U455" s="148"/>
      <c r="V455" s="148"/>
      <c r="W455" s="148"/>
      <c r="X455" s="148"/>
      <c r="Y455" s="148"/>
      <c r="Z455" s="148"/>
      <c r="AA455" s="148"/>
      <c r="AB455" s="148"/>
      <c r="AC455" s="148"/>
      <c r="AD455" s="148"/>
      <c r="AE455" s="148"/>
      <c r="AF455" s="148"/>
      <c r="AG455" s="148"/>
      <c r="AH455" s="148"/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</row>
    <row r="456" spans="1:55" x14ac:dyDescent="0.2">
      <c r="A456" s="148"/>
      <c r="B456" s="148"/>
      <c r="C456" s="148"/>
      <c r="D456" s="148"/>
      <c r="E456" s="148"/>
      <c r="F456" s="148"/>
      <c r="G456" s="148"/>
      <c r="H456" s="148"/>
      <c r="I456" s="148"/>
      <c r="J456" s="148"/>
      <c r="K456" s="148"/>
      <c r="L456" s="148"/>
      <c r="M456" s="148"/>
      <c r="N456" s="148"/>
      <c r="O456" s="148"/>
      <c r="P456" s="148"/>
      <c r="Q456" s="148"/>
      <c r="R456" s="148"/>
      <c r="S456" s="148"/>
      <c r="T456" s="148"/>
      <c r="U456" s="148"/>
      <c r="V456" s="148"/>
      <c r="W456" s="148"/>
      <c r="X456" s="148"/>
      <c r="Y456" s="148"/>
      <c r="Z456" s="148"/>
      <c r="AA456" s="148"/>
      <c r="AB456" s="148"/>
      <c r="AC456" s="148"/>
      <c r="AD456" s="148"/>
      <c r="AE456" s="148"/>
      <c r="AF456" s="148"/>
      <c r="AG456" s="148"/>
      <c r="AH456" s="148"/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</row>
    <row r="457" spans="1:55" x14ac:dyDescent="0.2">
      <c r="A457" s="148"/>
      <c r="B457" s="148"/>
      <c r="C457" s="148"/>
      <c r="D457" s="148"/>
      <c r="E457" s="148"/>
      <c r="F457" s="148"/>
      <c r="G457" s="148"/>
      <c r="H457" s="148"/>
      <c r="I457" s="148"/>
      <c r="J457" s="148"/>
      <c r="K457" s="148"/>
      <c r="L457" s="148"/>
      <c r="M457" s="148"/>
      <c r="N457" s="148"/>
      <c r="O457" s="148"/>
      <c r="P457" s="148"/>
      <c r="Q457" s="148"/>
      <c r="R457" s="148"/>
      <c r="S457" s="148"/>
      <c r="T457" s="148"/>
      <c r="U457" s="148"/>
      <c r="V457" s="148"/>
      <c r="W457" s="148"/>
      <c r="X457" s="148"/>
      <c r="Y457" s="148"/>
      <c r="Z457" s="148"/>
      <c r="AA457" s="148"/>
      <c r="AB457" s="148"/>
      <c r="AC457" s="148"/>
      <c r="AD457" s="148"/>
      <c r="AE457" s="148"/>
      <c r="AF457" s="148"/>
      <c r="AG457" s="148"/>
      <c r="AH457" s="148"/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</row>
    <row r="458" spans="1:55" x14ac:dyDescent="0.2">
      <c r="A458" s="148"/>
      <c r="B458" s="148"/>
      <c r="C458" s="148"/>
      <c r="D458" s="148"/>
      <c r="E458" s="148"/>
      <c r="F458" s="148"/>
      <c r="G458" s="148"/>
      <c r="H458" s="148"/>
      <c r="I458" s="148"/>
      <c r="J458" s="148"/>
      <c r="K458" s="148"/>
      <c r="L458" s="148"/>
      <c r="M458" s="148"/>
      <c r="N458" s="148"/>
      <c r="O458" s="148"/>
      <c r="P458" s="148"/>
      <c r="Q458" s="148"/>
      <c r="R458" s="148"/>
      <c r="S458" s="148"/>
      <c r="T458" s="148"/>
      <c r="U458" s="148"/>
      <c r="V458" s="148"/>
      <c r="W458" s="148"/>
      <c r="X458" s="148"/>
      <c r="Y458" s="148"/>
      <c r="Z458" s="148"/>
      <c r="AA458" s="148"/>
      <c r="AB458" s="148"/>
      <c r="AC458" s="148"/>
      <c r="AD458" s="148"/>
      <c r="AE458" s="148"/>
      <c r="AF458" s="148"/>
      <c r="AG458" s="148"/>
      <c r="AH458" s="148"/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</row>
    <row r="459" spans="1:55" x14ac:dyDescent="0.2">
      <c r="A459" s="148"/>
      <c r="B459" s="148"/>
      <c r="C459" s="148"/>
      <c r="D459" s="148"/>
      <c r="E459" s="148"/>
      <c r="F459" s="148"/>
      <c r="G459" s="148"/>
      <c r="H459" s="148"/>
      <c r="I459" s="148"/>
      <c r="J459" s="148"/>
      <c r="K459" s="148"/>
      <c r="L459" s="148"/>
      <c r="M459" s="148"/>
      <c r="N459" s="148"/>
      <c r="O459" s="148"/>
      <c r="P459" s="148"/>
      <c r="Q459" s="148"/>
      <c r="R459" s="148"/>
      <c r="S459" s="148"/>
      <c r="T459" s="148"/>
      <c r="U459" s="148"/>
      <c r="V459" s="148"/>
      <c r="W459" s="148"/>
      <c r="X459" s="148"/>
      <c r="Y459" s="148"/>
      <c r="Z459" s="148"/>
      <c r="AA459" s="148"/>
      <c r="AB459" s="148"/>
      <c r="AC459" s="148"/>
      <c r="AD459" s="148"/>
      <c r="AE459" s="148"/>
      <c r="AF459" s="148"/>
      <c r="AG459" s="148"/>
      <c r="AH459" s="148"/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</row>
    <row r="460" spans="1:55" x14ac:dyDescent="0.2">
      <c r="A460" s="148"/>
      <c r="B460" s="148"/>
      <c r="C460" s="148"/>
      <c r="D460" s="148"/>
      <c r="E460" s="148"/>
      <c r="F460" s="148"/>
      <c r="G460" s="148"/>
      <c r="H460" s="148"/>
      <c r="I460" s="148"/>
      <c r="J460" s="148"/>
      <c r="K460" s="148"/>
      <c r="L460" s="148"/>
      <c r="M460" s="148"/>
      <c r="N460" s="148"/>
      <c r="O460" s="148"/>
      <c r="P460" s="148"/>
      <c r="Q460" s="148"/>
      <c r="R460" s="148"/>
      <c r="S460" s="148"/>
      <c r="T460" s="148"/>
      <c r="U460" s="148"/>
      <c r="V460" s="148"/>
      <c r="W460" s="148"/>
      <c r="X460" s="148"/>
      <c r="Y460" s="148"/>
      <c r="Z460" s="148"/>
      <c r="AA460" s="148"/>
      <c r="AB460" s="148"/>
      <c r="AC460" s="148"/>
      <c r="AD460" s="148"/>
      <c r="AE460" s="148"/>
      <c r="AF460" s="148"/>
      <c r="AG460" s="148"/>
      <c r="AH460" s="148"/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</row>
    <row r="461" spans="1:55" x14ac:dyDescent="0.2">
      <c r="A461" s="148"/>
      <c r="B461" s="148"/>
      <c r="C461" s="148"/>
      <c r="D461" s="148"/>
      <c r="E461" s="148"/>
      <c r="F461" s="148"/>
      <c r="G461" s="148"/>
      <c r="H461" s="148"/>
      <c r="I461" s="148"/>
      <c r="J461" s="148"/>
      <c r="K461" s="148"/>
      <c r="L461" s="148"/>
      <c r="M461" s="148"/>
      <c r="N461" s="148"/>
      <c r="O461" s="148"/>
      <c r="P461" s="148"/>
      <c r="Q461" s="148"/>
      <c r="R461" s="148"/>
      <c r="S461" s="148"/>
      <c r="T461" s="148"/>
      <c r="U461" s="148"/>
      <c r="V461" s="148"/>
      <c r="W461" s="148"/>
      <c r="X461" s="148"/>
      <c r="Y461" s="148"/>
      <c r="Z461" s="148"/>
      <c r="AA461" s="148"/>
      <c r="AB461" s="148"/>
      <c r="AC461" s="148"/>
      <c r="AD461" s="148"/>
      <c r="AE461" s="148"/>
      <c r="AF461" s="148"/>
      <c r="AG461" s="148"/>
      <c r="AH461" s="148"/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</row>
    <row r="462" spans="1:55" x14ac:dyDescent="0.2">
      <c r="A462" s="148"/>
      <c r="B462" s="148"/>
      <c r="C462" s="148"/>
      <c r="D462" s="148"/>
      <c r="E462" s="148"/>
      <c r="F462" s="148"/>
      <c r="G462" s="148"/>
      <c r="H462" s="148"/>
      <c r="I462" s="148"/>
      <c r="J462" s="148"/>
      <c r="K462" s="148"/>
      <c r="L462" s="148"/>
      <c r="M462" s="148"/>
      <c r="N462" s="148"/>
      <c r="O462" s="148"/>
      <c r="P462" s="148"/>
      <c r="Q462" s="148"/>
      <c r="R462" s="148"/>
      <c r="S462" s="148"/>
      <c r="T462" s="148"/>
      <c r="U462" s="148"/>
      <c r="V462" s="148"/>
      <c r="W462" s="148"/>
      <c r="X462" s="148"/>
      <c r="Y462" s="148"/>
      <c r="Z462" s="148"/>
      <c r="AA462" s="148"/>
      <c r="AB462" s="148"/>
      <c r="AC462" s="148"/>
      <c r="AD462" s="148"/>
      <c r="AE462" s="148"/>
      <c r="AF462" s="148"/>
      <c r="AG462" s="148"/>
      <c r="AH462" s="148"/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</row>
    <row r="463" spans="1:55" x14ac:dyDescent="0.2">
      <c r="A463" s="148"/>
      <c r="B463" s="148"/>
      <c r="C463" s="148"/>
      <c r="D463" s="148"/>
      <c r="E463" s="148"/>
      <c r="F463" s="148"/>
      <c r="G463" s="148"/>
      <c r="H463" s="148"/>
      <c r="I463" s="148"/>
      <c r="J463" s="148"/>
      <c r="K463" s="148"/>
      <c r="L463" s="148"/>
      <c r="M463" s="148"/>
      <c r="N463" s="148"/>
      <c r="O463" s="148"/>
      <c r="P463" s="148"/>
      <c r="Q463" s="148"/>
      <c r="R463" s="148"/>
      <c r="S463" s="148"/>
      <c r="T463" s="148"/>
      <c r="U463" s="148"/>
      <c r="V463" s="148"/>
      <c r="W463" s="148"/>
      <c r="X463" s="148"/>
      <c r="Y463" s="148"/>
      <c r="Z463" s="148"/>
      <c r="AA463" s="148"/>
      <c r="AB463" s="148"/>
      <c r="AC463" s="148"/>
      <c r="AD463" s="148"/>
      <c r="AE463" s="148"/>
      <c r="AF463" s="148"/>
      <c r="AG463" s="148"/>
      <c r="AH463" s="148"/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</row>
    <row r="464" spans="1:55" x14ac:dyDescent="0.2">
      <c r="A464" s="148"/>
      <c r="B464" s="148"/>
      <c r="C464" s="148"/>
      <c r="D464" s="148"/>
      <c r="E464" s="148"/>
      <c r="F464" s="148"/>
      <c r="G464" s="148"/>
      <c r="H464" s="148"/>
      <c r="I464" s="148"/>
      <c r="J464" s="148"/>
      <c r="K464" s="148"/>
      <c r="L464" s="148"/>
      <c r="M464" s="148"/>
      <c r="N464" s="148"/>
      <c r="O464" s="148"/>
      <c r="P464" s="148"/>
      <c r="Q464" s="148"/>
      <c r="R464" s="148"/>
      <c r="S464" s="148"/>
      <c r="T464" s="148"/>
      <c r="U464" s="148"/>
      <c r="V464" s="148"/>
      <c r="W464" s="14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/>
      <c r="AH464" s="148"/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</row>
    <row r="465" spans="1:55" x14ac:dyDescent="0.2">
      <c r="A465" s="148"/>
      <c r="B465" s="148"/>
      <c r="C465" s="148"/>
      <c r="D465" s="148"/>
      <c r="E465" s="148"/>
      <c r="F465" s="148"/>
      <c r="G465" s="148"/>
      <c r="H465" s="148"/>
      <c r="I465" s="148"/>
      <c r="J465" s="148"/>
      <c r="K465" s="148"/>
      <c r="L465" s="148"/>
      <c r="M465" s="148"/>
      <c r="N465" s="148"/>
      <c r="O465" s="148"/>
      <c r="P465" s="148"/>
      <c r="Q465" s="148"/>
      <c r="R465" s="148"/>
      <c r="S465" s="148"/>
      <c r="T465" s="148"/>
      <c r="U465" s="148"/>
      <c r="V465" s="148"/>
      <c r="W465" s="14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</row>
    <row r="466" spans="1:55" x14ac:dyDescent="0.2">
      <c r="A466" s="148"/>
      <c r="B466" s="148"/>
      <c r="C466" s="148"/>
      <c r="D466" s="148"/>
      <c r="E466" s="148"/>
      <c r="F466" s="148"/>
      <c r="G466" s="148"/>
      <c r="H466" s="148"/>
      <c r="I466" s="148"/>
      <c r="J466" s="148"/>
      <c r="K466" s="148"/>
      <c r="L466" s="148"/>
      <c r="M466" s="148"/>
      <c r="N466" s="148"/>
      <c r="O466" s="148"/>
      <c r="P466" s="148"/>
      <c r="Q466" s="148"/>
      <c r="R466" s="148"/>
      <c r="S466" s="148"/>
      <c r="T466" s="148"/>
      <c r="U466" s="148"/>
      <c r="V466" s="148"/>
      <c r="W466" s="148"/>
      <c r="X466" s="148"/>
      <c r="Y466" s="148"/>
      <c r="Z466" s="148"/>
      <c r="AA466" s="148"/>
      <c r="AB466" s="148"/>
      <c r="AC466" s="148"/>
      <c r="AD466" s="148"/>
      <c r="AE466" s="148"/>
      <c r="AF466" s="148"/>
      <c r="AG466" s="148"/>
      <c r="AH466" s="148"/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</row>
    <row r="467" spans="1:55" x14ac:dyDescent="0.2">
      <c r="A467" s="148"/>
      <c r="B467" s="148"/>
      <c r="C467" s="148"/>
      <c r="D467" s="148"/>
      <c r="E467" s="148"/>
      <c r="F467" s="148"/>
      <c r="G467" s="148"/>
      <c r="H467" s="148"/>
      <c r="I467" s="148"/>
      <c r="J467" s="148"/>
      <c r="K467" s="148"/>
      <c r="L467" s="148"/>
      <c r="M467" s="148"/>
      <c r="N467" s="148"/>
      <c r="O467" s="148"/>
      <c r="P467" s="148"/>
      <c r="Q467" s="148"/>
      <c r="R467" s="148"/>
      <c r="S467" s="148"/>
      <c r="T467" s="148"/>
      <c r="U467" s="148"/>
      <c r="V467" s="148"/>
      <c r="W467" s="148"/>
      <c r="X467" s="148"/>
      <c r="Y467" s="148"/>
      <c r="Z467" s="148"/>
      <c r="AA467" s="148"/>
      <c r="AB467" s="148"/>
      <c r="AC467" s="148"/>
      <c r="AD467" s="148"/>
      <c r="AE467" s="148"/>
      <c r="AF467" s="148"/>
      <c r="AG467" s="148"/>
      <c r="AH467" s="148"/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</row>
    <row r="468" spans="1:55" x14ac:dyDescent="0.2">
      <c r="A468" s="148"/>
      <c r="B468" s="148"/>
      <c r="C468" s="148"/>
      <c r="D468" s="148"/>
      <c r="E468" s="148"/>
      <c r="F468" s="148"/>
      <c r="G468" s="148"/>
      <c r="H468" s="148"/>
      <c r="I468" s="148"/>
      <c r="J468" s="148"/>
      <c r="K468" s="148"/>
      <c r="L468" s="148"/>
      <c r="M468" s="148"/>
      <c r="N468" s="148"/>
      <c r="O468" s="148"/>
      <c r="P468" s="148"/>
      <c r="Q468" s="148"/>
      <c r="R468" s="148"/>
      <c r="S468" s="148"/>
      <c r="T468" s="148"/>
      <c r="U468" s="148"/>
      <c r="V468" s="148"/>
      <c r="W468" s="148"/>
      <c r="X468" s="148"/>
      <c r="Y468" s="148"/>
      <c r="Z468" s="148"/>
      <c r="AA468" s="148"/>
      <c r="AB468" s="148"/>
      <c r="AC468" s="148"/>
      <c r="AD468" s="148"/>
      <c r="AE468" s="148"/>
      <c r="AF468" s="148"/>
      <c r="AG468" s="148"/>
      <c r="AH468" s="148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</row>
    <row r="469" spans="1:55" x14ac:dyDescent="0.2">
      <c r="A469" s="148"/>
      <c r="B469" s="148"/>
      <c r="C469" s="148"/>
      <c r="D469" s="148"/>
      <c r="E469" s="148"/>
      <c r="F469" s="148"/>
      <c r="G469" s="148"/>
      <c r="H469" s="148"/>
      <c r="I469" s="148"/>
      <c r="J469" s="148"/>
      <c r="K469" s="148"/>
      <c r="L469" s="148"/>
      <c r="M469" s="148"/>
      <c r="N469" s="148"/>
      <c r="O469" s="148"/>
      <c r="P469" s="148"/>
      <c r="Q469" s="148"/>
      <c r="R469" s="148"/>
      <c r="S469" s="148"/>
      <c r="T469" s="148"/>
      <c r="U469" s="148"/>
      <c r="V469" s="148"/>
      <c r="W469" s="148"/>
      <c r="X469" s="148"/>
      <c r="Y469" s="148"/>
      <c r="Z469" s="148"/>
      <c r="AA469" s="148"/>
      <c r="AB469" s="148"/>
      <c r="AC469" s="148"/>
      <c r="AD469" s="148"/>
      <c r="AE469" s="148"/>
      <c r="AF469" s="148"/>
      <c r="AG469" s="148"/>
      <c r="AH469" s="148"/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</row>
    <row r="470" spans="1:55" x14ac:dyDescent="0.2">
      <c r="A470" s="148"/>
      <c r="B470" s="148"/>
      <c r="C470" s="148"/>
      <c r="D470" s="148"/>
      <c r="E470" s="148"/>
      <c r="F470" s="148"/>
      <c r="G470" s="148"/>
      <c r="H470" s="148"/>
      <c r="I470" s="148"/>
      <c r="J470" s="148"/>
      <c r="K470" s="148"/>
      <c r="L470" s="148"/>
      <c r="M470" s="148"/>
      <c r="N470" s="148"/>
      <c r="O470" s="148"/>
      <c r="P470" s="148"/>
      <c r="Q470" s="148"/>
      <c r="R470" s="148"/>
      <c r="S470" s="148"/>
      <c r="T470" s="148"/>
      <c r="U470" s="148"/>
      <c r="V470" s="148"/>
      <c r="W470" s="148"/>
      <c r="X470" s="148"/>
      <c r="Y470" s="148"/>
      <c r="Z470" s="148"/>
      <c r="AA470" s="148"/>
      <c r="AB470" s="148"/>
      <c r="AC470" s="148"/>
      <c r="AD470" s="148"/>
      <c r="AE470" s="148"/>
      <c r="AF470" s="148"/>
      <c r="AG470" s="148"/>
      <c r="AH470" s="148"/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</row>
    <row r="471" spans="1:55" x14ac:dyDescent="0.2">
      <c r="A471" s="148"/>
      <c r="B471" s="148"/>
      <c r="C471" s="148"/>
      <c r="D471" s="148"/>
      <c r="E471" s="148"/>
      <c r="F471" s="148"/>
      <c r="G471" s="148"/>
      <c r="H471" s="148"/>
      <c r="I471" s="148"/>
      <c r="J471" s="148"/>
      <c r="K471" s="148"/>
      <c r="L471" s="148"/>
      <c r="M471" s="148"/>
      <c r="N471" s="148"/>
      <c r="O471" s="148"/>
      <c r="P471" s="148"/>
      <c r="Q471" s="148"/>
      <c r="R471" s="148"/>
      <c r="S471" s="148"/>
      <c r="T471" s="148"/>
      <c r="U471" s="148"/>
      <c r="V471" s="148"/>
      <c r="W471" s="14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</row>
    <row r="472" spans="1:55" x14ac:dyDescent="0.2">
      <c r="A472" s="148"/>
      <c r="B472" s="148"/>
      <c r="C472" s="148"/>
      <c r="D472" s="148"/>
      <c r="E472" s="148"/>
      <c r="F472" s="148"/>
      <c r="G472" s="148"/>
      <c r="H472" s="148"/>
      <c r="I472" s="148"/>
      <c r="J472" s="148"/>
      <c r="K472" s="148"/>
      <c r="L472" s="148"/>
      <c r="M472" s="148"/>
      <c r="N472" s="148"/>
      <c r="O472" s="148"/>
      <c r="P472" s="148"/>
      <c r="Q472" s="148"/>
      <c r="R472" s="148"/>
      <c r="S472" s="148"/>
      <c r="T472" s="148"/>
      <c r="U472" s="148"/>
      <c r="V472" s="148"/>
      <c r="W472" s="148"/>
      <c r="X472" s="148"/>
      <c r="Y472" s="148"/>
      <c r="Z472" s="148"/>
      <c r="AA472" s="148"/>
      <c r="AB472" s="148"/>
      <c r="AC472" s="148"/>
      <c r="AD472" s="148"/>
      <c r="AE472" s="148"/>
      <c r="AF472" s="148"/>
      <c r="AG472" s="148"/>
      <c r="AH472" s="148"/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</row>
    <row r="473" spans="1:55" x14ac:dyDescent="0.2">
      <c r="A473" s="148"/>
      <c r="B473" s="148"/>
      <c r="C473" s="148"/>
      <c r="D473" s="148"/>
      <c r="E473" s="148"/>
      <c r="F473" s="148"/>
      <c r="G473" s="148"/>
      <c r="H473" s="148"/>
      <c r="I473" s="148"/>
      <c r="J473" s="148"/>
      <c r="K473" s="148"/>
      <c r="L473" s="148"/>
      <c r="M473" s="148"/>
      <c r="N473" s="148"/>
      <c r="O473" s="148"/>
      <c r="P473" s="148"/>
      <c r="Q473" s="148"/>
      <c r="R473" s="148"/>
      <c r="S473" s="148"/>
      <c r="T473" s="148"/>
      <c r="U473" s="148"/>
      <c r="V473" s="148"/>
      <c r="W473" s="148"/>
      <c r="X473" s="148"/>
      <c r="Y473" s="148"/>
      <c r="Z473" s="148"/>
      <c r="AA473" s="148"/>
      <c r="AB473" s="148"/>
      <c r="AC473" s="148"/>
      <c r="AD473" s="148"/>
      <c r="AE473" s="148"/>
      <c r="AF473" s="148"/>
      <c r="AG473" s="148"/>
      <c r="AH473" s="148"/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</row>
    <row r="474" spans="1:55" x14ac:dyDescent="0.2">
      <c r="A474" s="148"/>
      <c r="B474" s="148"/>
      <c r="C474" s="148"/>
      <c r="D474" s="148"/>
      <c r="E474" s="148"/>
      <c r="F474" s="148"/>
      <c r="G474" s="148"/>
      <c r="H474" s="148"/>
      <c r="I474" s="148"/>
      <c r="J474" s="148"/>
      <c r="K474" s="148"/>
      <c r="L474" s="148"/>
      <c r="M474" s="148"/>
      <c r="N474" s="148"/>
      <c r="O474" s="148"/>
      <c r="P474" s="148"/>
      <c r="Q474" s="148"/>
      <c r="R474" s="148"/>
      <c r="S474" s="148"/>
      <c r="T474" s="148"/>
      <c r="U474" s="148"/>
      <c r="V474" s="148"/>
      <c r="W474" s="14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</row>
    <row r="475" spans="1:55" x14ac:dyDescent="0.2">
      <c r="A475" s="148"/>
      <c r="B475" s="148"/>
      <c r="C475" s="148"/>
      <c r="D475" s="148"/>
      <c r="E475" s="148"/>
      <c r="F475" s="148"/>
      <c r="G475" s="148"/>
      <c r="H475" s="148"/>
      <c r="I475" s="148"/>
      <c r="J475" s="148"/>
      <c r="K475" s="148"/>
      <c r="L475" s="148"/>
      <c r="M475" s="148"/>
      <c r="N475" s="148"/>
      <c r="O475" s="148"/>
      <c r="P475" s="148"/>
      <c r="Q475" s="148"/>
      <c r="R475" s="148"/>
      <c r="S475" s="148"/>
      <c r="T475" s="148"/>
      <c r="U475" s="148"/>
      <c r="V475" s="148"/>
      <c r="W475" s="14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/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</row>
    <row r="476" spans="1:55" x14ac:dyDescent="0.2">
      <c r="A476" s="148"/>
      <c r="B476" s="148"/>
      <c r="C476" s="148"/>
      <c r="D476" s="148"/>
      <c r="E476" s="148"/>
      <c r="F476" s="148"/>
      <c r="G476" s="148"/>
      <c r="H476" s="148"/>
      <c r="I476" s="148"/>
      <c r="J476" s="148"/>
      <c r="K476" s="148"/>
      <c r="L476" s="148"/>
      <c r="M476" s="148"/>
      <c r="N476" s="148"/>
      <c r="O476" s="148"/>
      <c r="P476" s="148"/>
      <c r="Q476" s="148"/>
      <c r="R476" s="148"/>
      <c r="S476" s="148"/>
      <c r="T476" s="148"/>
      <c r="U476" s="148"/>
      <c r="V476" s="148"/>
      <c r="W476" s="14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/>
      <c r="AH476" s="148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</row>
    <row r="477" spans="1:55" x14ac:dyDescent="0.2">
      <c r="A477" s="148"/>
      <c r="B477" s="148"/>
      <c r="C477" s="148"/>
      <c r="D477" s="148"/>
      <c r="E477" s="148"/>
      <c r="F477" s="148"/>
      <c r="G477" s="148"/>
      <c r="H477" s="148"/>
      <c r="I477" s="148"/>
      <c r="J477" s="148"/>
      <c r="K477" s="148"/>
      <c r="L477" s="148"/>
      <c r="M477" s="148"/>
      <c r="N477" s="148"/>
      <c r="O477" s="148"/>
      <c r="P477" s="148"/>
      <c r="Q477" s="148"/>
      <c r="R477" s="148"/>
      <c r="S477" s="148"/>
      <c r="T477" s="148"/>
      <c r="U477" s="148"/>
      <c r="V477" s="148"/>
      <c r="W477" s="14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</row>
    <row r="478" spans="1:55" x14ac:dyDescent="0.2">
      <c r="A478" s="148"/>
      <c r="B478" s="148"/>
      <c r="C478" s="148"/>
      <c r="D478" s="148"/>
      <c r="E478" s="148"/>
      <c r="F478" s="148"/>
      <c r="G478" s="148"/>
      <c r="H478" s="148"/>
      <c r="I478" s="148"/>
      <c r="J478" s="148"/>
      <c r="K478" s="148"/>
      <c r="L478" s="148"/>
      <c r="M478" s="148"/>
      <c r="N478" s="148"/>
      <c r="O478" s="148"/>
      <c r="P478" s="148"/>
      <c r="Q478" s="148"/>
      <c r="R478" s="148"/>
      <c r="S478" s="148"/>
      <c r="T478" s="148"/>
      <c r="U478" s="148"/>
      <c r="V478" s="148"/>
      <c r="W478" s="14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/>
      <c r="AH478" s="148"/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</row>
    <row r="479" spans="1:55" x14ac:dyDescent="0.2">
      <c r="A479" s="148"/>
      <c r="B479" s="148"/>
      <c r="C479" s="148"/>
      <c r="D479" s="148"/>
      <c r="E479" s="148"/>
      <c r="F479" s="148"/>
      <c r="G479" s="148"/>
      <c r="H479" s="148"/>
      <c r="I479" s="148"/>
      <c r="J479" s="148"/>
      <c r="K479" s="148"/>
      <c r="L479" s="148"/>
      <c r="M479" s="148"/>
      <c r="N479" s="148"/>
      <c r="O479" s="148"/>
      <c r="P479" s="148"/>
      <c r="Q479" s="148"/>
      <c r="R479" s="148"/>
      <c r="S479" s="148"/>
      <c r="T479" s="148"/>
      <c r="U479" s="148"/>
      <c r="V479" s="148"/>
      <c r="W479" s="14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/>
      <c r="AH479" s="148"/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</row>
    <row r="480" spans="1:55" x14ac:dyDescent="0.2">
      <c r="A480" s="148"/>
      <c r="B480" s="148"/>
      <c r="C480" s="148"/>
      <c r="D480" s="148"/>
      <c r="E480" s="148"/>
      <c r="F480" s="148"/>
      <c r="G480" s="148"/>
      <c r="H480" s="148"/>
      <c r="I480" s="148"/>
      <c r="J480" s="148"/>
      <c r="K480" s="148"/>
      <c r="L480" s="148"/>
      <c r="M480" s="148"/>
      <c r="N480" s="148"/>
      <c r="O480" s="148"/>
      <c r="P480" s="148"/>
      <c r="Q480" s="148"/>
      <c r="R480" s="148"/>
      <c r="S480" s="148"/>
      <c r="T480" s="148"/>
      <c r="U480" s="148"/>
      <c r="V480" s="148"/>
      <c r="W480" s="14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</row>
    <row r="481" spans="1:55" x14ac:dyDescent="0.2">
      <c r="A481" s="148"/>
      <c r="B481" s="148"/>
      <c r="C481" s="148"/>
      <c r="D481" s="148"/>
      <c r="E481" s="148"/>
      <c r="F481" s="148"/>
      <c r="G481" s="148"/>
      <c r="H481" s="148"/>
      <c r="I481" s="148"/>
      <c r="J481" s="148"/>
      <c r="K481" s="148"/>
      <c r="L481" s="148"/>
      <c r="M481" s="148"/>
      <c r="N481" s="148"/>
      <c r="O481" s="148"/>
      <c r="P481" s="148"/>
      <c r="Q481" s="148"/>
      <c r="R481" s="148"/>
      <c r="S481" s="148"/>
      <c r="T481" s="148"/>
      <c r="U481" s="148"/>
      <c r="V481" s="148"/>
      <c r="W481" s="14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</row>
    <row r="482" spans="1:55" x14ac:dyDescent="0.2">
      <c r="A482" s="148"/>
      <c r="B482" s="148"/>
      <c r="C482" s="148"/>
      <c r="D482" s="148"/>
      <c r="E482" s="148"/>
      <c r="F482" s="148"/>
      <c r="G482" s="148"/>
      <c r="H482" s="148"/>
      <c r="I482" s="148"/>
      <c r="J482" s="148"/>
      <c r="K482" s="148"/>
      <c r="L482" s="148"/>
      <c r="M482" s="148"/>
      <c r="N482" s="148"/>
      <c r="O482" s="148"/>
      <c r="P482" s="148"/>
      <c r="Q482" s="148"/>
      <c r="R482" s="148"/>
      <c r="S482" s="148"/>
      <c r="T482" s="148"/>
      <c r="U482" s="148"/>
      <c r="V482" s="148"/>
      <c r="W482" s="14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</row>
    <row r="483" spans="1:55" x14ac:dyDescent="0.2">
      <c r="A483" s="148"/>
      <c r="B483" s="148"/>
      <c r="C483" s="148"/>
      <c r="D483" s="148"/>
      <c r="E483" s="148"/>
      <c r="F483" s="148"/>
      <c r="G483" s="148"/>
      <c r="H483" s="148"/>
      <c r="I483" s="148"/>
      <c r="J483" s="148"/>
      <c r="K483" s="148"/>
      <c r="L483" s="148"/>
      <c r="M483" s="148"/>
      <c r="N483" s="148"/>
      <c r="O483" s="148"/>
      <c r="P483" s="148"/>
      <c r="Q483" s="148"/>
      <c r="R483" s="148"/>
      <c r="S483" s="148"/>
      <c r="T483" s="148"/>
      <c r="U483" s="148"/>
      <c r="V483" s="148"/>
      <c r="W483" s="148"/>
      <c r="X483" s="148"/>
      <c r="Y483" s="148"/>
      <c r="Z483" s="148"/>
      <c r="AA483" s="148"/>
      <c r="AB483" s="148"/>
      <c r="AC483" s="148"/>
      <c r="AD483" s="148"/>
      <c r="AE483" s="148"/>
      <c r="AF483" s="148"/>
      <c r="AG483" s="148"/>
      <c r="AH483" s="148"/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</row>
    <row r="484" spans="1:55" x14ac:dyDescent="0.2">
      <c r="A484" s="148"/>
      <c r="B484" s="148"/>
      <c r="C484" s="148"/>
      <c r="D484" s="148"/>
      <c r="E484" s="148"/>
      <c r="F484" s="148"/>
      <c r="G484" s="148"/>
      <c r="H484" s="148"/>
      <c r="I484" s="148"/>
      <c r="J484" s="148"/>
      <c r="K484" s="148"/>
      <c r="L484" s="148"/>
      <c r="M484" s="148"/>
      <c r="N484" s="148"/>
      <c r="O484" s="148"/>
      <c r="P484" s="148"/>
      <c r="Q484" s="148"/>
      <c r="R484" s="148"/>
      <c r="S484" s="148"/>
      <c r="T484" s="148"/>
      <c r="U484" s="148"/>
      <c r="V484" s="148"/>
      <c r="W484" s="14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</row>
    <row r="485" spans="1:55" x14ac:dyDescent="0.2">
      <c r="A485" s="148"/>
      <c r="B485" s="148"/>
      <c r="C485" s="148"/>
      <c r="D485" s="148"/>
      <c r="E485" s="148"/>
      <c r="F485" s="148"/>
      <c r="G485" s="148"/>
      <c r="H485" s="148"/>
      <c r="I485" s="148"/>
      <c r="J485" s="148"/>
      <c r="K485" s="148"/>
      <c r="L485" s="148"/>
      <c r="M485" s="148"/>
      <c r="N485" s="148"/>
      <c r="O485" s="148"/>
      <c r="P485" s="148"/>
      <c r="Q485" s="148"/>
      <c r="R485" s="148"/>
      <c r="S485" s="148"/>
      <c r="T485" s="148"/>
      <c r="U485" s="148"/>
      <c r="V485" s="148"/>
      <c r="W485" s="14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</row>
    <row r="486" spans="1:55" x14ac:dyDescent="0.2">
      <c r="A486" s="148"/>
      <c r="B486" s="148"/>
      <c r="C486" s="148"/>
      <c r="D486" s="148"/>
      <c r="E486" s="148"/>
      <c r="F486" s="148"/>
      <c r="G486" s="148"/>
      <c r="H486" s="148"/>
      <c r="I486" s="148"/>
      <c r="J486" s="148"/>
      <c r="K486" s="148"/>
      <c r="L486" s="148"/>
      <c r="M486" s="148"/>
      <c r="N486" s="148"/>
      <c r="O486" s="148"/>
      <c r="P486" s="148"/>
      <c r="Q486" s="148"/>
      <c r="R486" s="148"/>
      <c r="S486" s="148"/>
      <c r="T486" s="148"/>
      <c r="U486" s="148"/>
      <c r="V486" s="148"/>
      <c r="W486" s="14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/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</row>
    <row r="487" spans="1:55" x14ac:dyDescent="0.2">
      <c r="A487" s="148"/>
      <c r="B487" s="148"/>
      <c r="C487" s="148"/>
      <c r="D487" s="148"/>
      <c r="E487" s="148"/>
      <c r="F487" s="148"/>
      <c r="G487" s="148"/>
      <c r="H487" s="148"/>
      <c r="I487" s="148"/>
      <c r="J487" s="148"/>
      <c r="K487" s="148"/>
      <c r="L487" s="148"/>
      <c r="M487" s="148"/>
      <c r="N487" s="148"/>
      <c r="O487" s="148"/>
      <c r="P487" s="148"/>
      <c r="Q487" s="148"/>
      <c r="R487" s="148"/>
      <c r="S487" s="148"/>
      <c r="T487" s="148"/>
      <c r="U487" s="148"/>
      <c r="V487" s="148"/>
      <c r="W487" s="14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</row>
    <row r="488" spans="1:55" x14ac:dyDescent="0.2">
      <c r="A488" s="148"/>
      <c r="B488" s="148"/>
      <c r="C488" s="148"/>
      <c r="D488" s="148"/>
      <c r="E488" s="148"/>
      <c r="F488" s="148"/>
      <c r="G488" s="148"/>
      <c r="H488" s="148"/>
      <c r="I488" s="148"/>
      <c r="J488" s="148"/>
      <c r="K488" s="148"/>
      <c r="L488" s="148"/>
      <c r="M488" s="148"/>
      <c r="N488" s="148"/>
      <c r="O488" s="148"/>
      <c r="P488" s="148"/>
      <c r="Q488" s="148"/>
      <c r="R488" s="148"/>
      <c r="S488" s="148"/>
      <c r="T488" s="148"/>
      <c r="U488" s="148"/>
      <c r="V488" s="148"/>
      <c r="W488" s="14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</row>
    <row r="489" spans="1:55" x14ac:dyDescent="0.2">
      <c r="A489" s="148"/>
      <c r="B489" s="148"/>
      <c r="C489" s="148"/>
      <c r="D489" s="148"/>
      <c r="E489" s="148"/>
      <c r="F489" s="148"/>
      <c r="G489" s="148"/>
      <c r="H489" s="148"/>
      <c r="I489" s="148"/>
      <c r="J489" s="148"/>
      <c r="K489" s="148"/>
      <c r="L489" s="148"/>
      <c r="M489" s="148"/>
      <c r="N489" s="148"/>
      <c r="O489" s="148"/>
      <c r="P489" s="148"/>
      <c r="Q489" s="148"/>
      <c r="R489" s="148"/>
      <c r="S489" s="148"/>
      <c r="T489" s="148"/>
      <c r="U489" s="148"/>
      <c r="V489" s="148"/>
      <c r="W489" s="14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</row>
    <row r="490" spans="1:55" x14ac:dyDescent="0.2">
      <c r="A490" s="148"/>
      <c r="B490" s="148"/>
      <c r="C490" s="148"/>
      <c r="D490" s="148"/>
      <c r="E490" s="148"/>
      <c r="F490" s="148"/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  <c r="Q490" s="148"/>
      <c r="R490" s="148"/>
      <c r="S490" s="148"/>
      <c r="T490" s="148"/>
      <c r="U490" s="148"/>
      <c r="V490" s="148"/>
      <c r="W490" s="14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/>
      <c r="AH490" s="148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</row>
    <row r="491" spans="1:55" x14ac:dyDescent="0.2">
      <c r="A491" s="148"/>
      <c r="B491" s="148"/>
      <c r="C491" s="148"/>
      <c r="D491" s="148"/>
      <c r="E491" s="148"/>
      <c r="F491" s="148"/>
      <c r="G491" s="148"/>
      <c r="H491" s="148"/>
      <c r="I491" s="148"/>
      <c r="J491" s="148"/>
      <c r="K491" s="148"/>
      <c r="L491" s="148"/>
      <c r="M491" s="148"/>
      <c r="N491" s="148"/>
      <c r="O491" s="148"/>
      <c r="P491" s="148"/>
      <c r="Q491" s="148"/>
      <c r="R491" s="148"/>
      <c r="S491" s="148"/>
      <c r="T491" s="148"/>
      <c r="U491" s="148"/>
      <c r="V491" s="148"/>
      <c r="W491" s="14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/>
      <c r="AH491" s="148"/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</row>
    <row r="492" spans="1:55" x14ac:dyDescent="0.2">
      <c r="A492" s="148"/>
      <c r="B492" s="148"/>
      <c r="C492" s="148"/>
      <c r="D492" s="148"/>
      <c r="E492" s="148"/>
      <c r="F492" s="148"/>
      <c r="G492" s="148"/>
      <c r="H492" s="148"/>
      <c r="I492" s="148"/>
      <c r="J492" s="148"/>
      <c r="K492" s="148"/>
      <c r="L492" s="148"/>
      <c r="M492" s="148"/>
      <c r="N492" s="148"/>
      <c r="O492" s="148"/>
      <c r="P492" s="148"/>
      <c r="Q492" s="148"/>
      <c r="R492" s="148"/>
      <c r="S492" s="148"/>
      <c r="T492" s="148"/>
      <c r="U492" s="148"/>
      <c r="V492" s="148"/>
      <c r="W492" s="14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/>
      <c r="AH492" s="148"/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</row>
    <row r="493" spans="1:55" x14ac:dyDescent="0.2">
      <c r="A493" s="148"/>
      <c r="B493" s="148"/>
      <c r="C493" s="148"/>
      <c r="D493" s="148"/>
      <c r="E493" s="148"/>
      <c r="F493" s="148"/>
      <c r="G493" s="148"/>
      <c r="H493" s="148"/>
      <c r="I493" s="148"/>
      <c r="J493" s="148"/>
      <c r="K493" s="148"/>
      <c r="L493" s="148"/>
      <c r="M493" s="148"/>
      <c r="N493" s="148"/>
      <c r="O493" s="148"/>
      <c r="P493" s="148"/>
      <c r="Q493" s="148"/>
      <c r="R493" s="148"/>
      <c r="S493" s="148"/>
      <c r="T493" s="148"/>
      <c r="U493" s="148"/>
      <c r="V493" s="148"/>
      <c r="W493" s="148"/>
      <c r="X493" s="148"/>
      <c r="Y493" s="148"/>
      <c r="Z493" s="148"/>
      <c r="AA493" s="148"/>
      <c r="AB493" s="148"/>
      <c r="AC493" s="148"/>
      <c r="AD493" s="148"/>
      <c r="AE493" s="148"/>
      <c r="AF493" s="148"/>
      <c r="AG493" s="148"/>
      <c r="AH493" s="148"/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</row>
    <row r="494" spans="1:55" x14ac:dyDescent="0.2">
      <c r="A494" s="148"/>
      <c r="B494" s="148"/>
      <c r="C494" s="148"/>
      <c r="D494" s="148"/>
      <c r="E494" s="148"/>
      <c r="F494" s="148"/>
      <c r="G494" s="148"/>
      <c r="H494" s="148"/>
      <c r="I494" s="148"/>
      <c r="J494" s="148"/>
      <c r="K494" s="148"/>
      <c r="L494" s="148"/>
      <c r="M494" s="148"/>
      <c r="N494" s="148"/>
      <c r="O494" s="148"/>
      <c r="P494" s="148"/>
      <c r="Q494" s="148"/>
      <c r="R494" s="148"/>
      <c r="S494" s="148"/>
      <c r="T494" s="148"/>
      <c r="U494" s="148"/>
      <c r="V494" s="148"/>
      <c r="W494" s="148"/>
      <c r="X494" s="148"/>
      <c r="Y494" s="148"/>
      <c r="Z494" s="148"/>
      <c r="AA494" s="148"/>
      <c r="AB494" s="148"/>
      <c r="AC494" s="148"/>
      <c r="AD494" s="148"/>
      <c r="AE494" s="148"/>
      <c r="AF494" s="148"/>
      <c r="AG494" s="148"/>
      <c r="AH494" s="148"/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</row>
    <row r="495" spans="1:55" x14ac:dyDescent="0.2">
      <c r="A495" s="148"/>
      <c r="B495" s="148"/>
      <c r="C495" s="148"/>
      <c r="D495" s="148"/>
      <c r="E495" s="148"/>
      <c r="F495" s="148"/>
      <c r="G495" s="148"/>
      <c r="H495" s="148"/>
      <c r="I495" s="148"/>
      <c r="J495" s="148"/>
      <c r="K495" s="148"/>
      <c r="L495" s="148"/>
      <c r="M495" s="148"/>
      <c r="N495" s="148"/>
      <c r="O495" s="148"/>
      <c r="P495" s="148"/>
      <c r="Q495" s="148"/>
      <c r="R495" s="148"/>
      <c r="S495" s="148"/>
      <c r="T495" s="148"/>
      <c r="U495" s="148"/>
      <c r="V495" s="148"/>
      <c r="W495" s="14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/>
      <c r="AH495" s="148"/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</row>
    <row r="496" spans="1:55" x14ac:dyDescent="0.2">
      <c r="A496" s="148"/>
      <c r="B496" s="148"/>
      <c r="C496" s="148"/>
      <c r="D496" s="148"/>
      <c r="E496" s="148"/>
      <c r="F496" s="148"/>
      <c r="G496" s="148"/>
      <c r="H496" s="148"/>
      <c r="I496" s="148"/>
      <c r="J496" s="148"/>
      <c r="K496" s="148"/>
      <c r="L496" s="148"/>
      <c r="M496" s="148"/>
      <c r="N496" s="148"/>
      <c r="O496" s="148"/>
      <c r="P496" s="148"/>
      <c r="Q496" s="148"/>
      <c r="R496" s="148"/>
      <c r="S496" s="148"/>
      <c r="T496" s="148"/>
      <c r="U496" s="148"/>
      <c r="V496" s="148"/>
      <c r="W496" s="148"/>
      <c r="X496" s="148"/>
      <c r="Y496" s="148"/>
      <c r="Z496" s="148"/>
      <c r="AA496" s="148"/>
      <c r="AB496" s="148"/>
      <c r="AC496" s="148"/>
      <c r="AD496" s="148"/>
      <c r="AE496" s="148"/>
      <c r="AF496" s="148"/>
      <c r="AG496" s="148"/>
      <c r="AH496" s="148"/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</row>
    <row r="497" spans="1:55" x14ac:dyDescent="0.2">
      <c r="A497" s="148"/>
      <c r="B497" s="148"/>
      <c r="C497" s="148"/>
      <c r="D497" s="148"/>
      <c r="E497" s="148"/>
      <c r="F497" s="148"/>
      <c r="G497" s="148"/>
      <c r="H497" s="148"/>
      <c r="I497" s="148"/>
      <c r="J497" s="148"/>
      <c r="K497" s="148"/>
      <c r="L497" s="148"/>
      <c r="M497" s="148"/>
      <c r="N497" s="148"/>
      <c r="O497" s="148"/>
      <c r="P497" s="148"/>
      <c r="Q497" s="148"/>
      <c r="R497" s="148"/>
      <c r="S497" s="148"/>
      <c r="T497" s="148"/>
      <c r="U497" s="148"/>
      <c r="V497" s="148"/>
      <c r="W497" s="148"/>
      <c r="X497" s="148"/>
      <c r="Y497" s="148"/>
      <c r="Z497" s="148"/>
      <c r="AA497" s="148"/>
      <c r="AB497" s="148"/>
      <c r="AC497" s="148"/>
      <c r="AD497" s="148"/>
      <c r="AE497" s="148"/>
      <c r="AF497" s="148"/>
      <c r="AG497" s="148"/>
      <c r="AH497" s="148"/>
      <c r="AI497" s="148"/>
      <c r="AJ497" s="148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48"/>
    </row>
    <row r="498" spans="1:55" x14ac:dyDescent="0.2">
      <c r="A498" s="148"/>
      <c r="B498" s="148"/>
      <c r="C498" s="148"/>
      <c r="D498" s="148"/>
      <c r="E498" s="148"/>
      <c r="F498" s="148"/>
      <c r="G498" s="148"/>
      <c r="H498" s="148"/>
      <c r="I498" s="148"/>
      <c r="J498" s="148"/>
      <c r="K498" s="148"/>
      <c r="L498" s="148"/>
      <c r="M498" s="148"/>
      <c r="N498" s="148"/>
      <c r="O498" s="148"/>
      <c r="P498" s="148"/>
      <c r="Q498" s="148"/>
      <c r="R498" s="148"/>
      <c r="S498" s="148"/>
      <c r="T498" s="148"/>
      <c r="U498" s="148"/>
      <c r="V498" s="148"/>
      <c r="W498" s="148"/>
      <c r="X498" s="148"/>
      <c r="Y498" s="148"/>
      <c r="Z498" s="148"/>
      <c r="AA498" s="148"/>
      <c r="AB498" s="148"/>
      <c r="AC498" s="148"/>
      <c r="AD498" s="148"/>
      <c r="AE498" s="148"/>
      <c r="AF498" s="148"/>
      <c r="AG498" s="148"/>
      <c r="AH498" s="148"/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</row>
    <row r="499" spans="1:55" x14ac:dyDescent="0.2">
      <c r="A499" s="148"/>
      <c r="B499" s="148"/>
      <c r="C499" s="148"/>
      <c r="D499" s="148"/>
      <c r="E499" s="148"/>
      <c r="F499" s="148"/>
      <c r="G499" s="148"/>
      <c r="H499" s="148"/>
      <c r="I499" s="148"/>
      <c r="J499" s="148"/>
      <c r="K499" s="148"/>
      <c r="L499" s="148"/>
      <c r="M499" s="148"/>
      <c r="N499" s="148"/>
      <c r="O499" s="148"/>
      <c r="P499" s="148"/>
      <c r="Q499" s="148"/>
      <c r="R499" s="148"/>
      <c r="S499" s="148"/>
      <c r="T499" s="148"/>
      <c r="U499" s="148"/>
      <c r="V499" s="148"/>
      <c r="W499" s="148"/>
      <c r="X499" s="148"/>
      <c r="Y499" s="148"/>
      <c r="Z499" s="148"/>
      <c r="AA499" s="148"/>
      <c r="AB499" s="148"/>
      <c r="AC499" s="148"/>
      <c r="AD499" s="148"/>
      <c r="AE499" s="148"/>
      <c r="AF499" s="148"/>
      <c r="AG499" s="148"/>
      <c r="AH499" s="148"/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</row>
    <row r="500" spans="1:55" x14ac:dyDescent="0.2">
      <c r="A500" s="148"/>
      <c r="B500" s="148"/>
      <c r="C500" s="148"/>
      <c r="D500" s="148"/>
      <c r="E500" s="148"/>
      <c r="F500" s="148"/>
      <c r="G500" s="148"/>
      <c r="H500" s="148"/>
      <c r="I500" s="148"/>
      <c r="J500" s="148"/>
      <c r="K500" s="148"/>
      <c r="L500" s="148"/>
      <c r="M500" s="148"/>
      <c r="N500" s="148"/>
      <c r="O500" s="148"/>
      <c r="P500" s="148"/>
      <c r="Q500" s="148"/>
      <c r="R500" s="148"/>
      <c r="S500" s="148"/>
      <c r="T500" s="148"/>
      <c r="U500" s="148"/>
      <c r="V500" s="148"/>
      <c r="W500" s="14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/>
      <c r="AH500" s="148"/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</row>
    <row r="501" spans="1:55" x14ac:dyDescent="0.2">
      <c r="A501" s="148"/>
      <c r="B501" s="148"/>
      <c r="C501" s="148"/>
      <c r="D501" s="148"/>
      <c r="E501" s="148"/>
      <c r="F501" s="148"/>
      <c r="G501" s="148"/>
      <c r="H501" s="148"/>
      <c r="I501" s="148"/>
      <c r="J501" s="148"/>
      <c r="K501" s="148"/>
      <c r="L501" s="148"/>
      <c r="M501" s="148"/>
      <c r="N501" s="148"/>
      <c r="O501" s="148"/>
      <c r="P501" s="148"/>
      <c r="Q501" s="148"/>
      <c r="R501" s="148"/>
      <c r="S501" s="148"/>
      <c r="T501" s="148"/>
      <c r="U501" s="148"/>
      <c r="V501" s="148"/>
      <c r="W501" s="148"/>
      <c r="X501" s="148"/>
      <c r="Y501" s="148"/>
      <c r="Z501" s="148"/>
      <c r="AA501" s="148"/>
      <c r="AB501" s="148"/>
      <c r="AC501" s="148"/>
      <c r="AD501" s="148"/>
      <c r="AE501" s="148"/>
      <c r="AF501" s="148"/>
      <c r="AG501" s="148"/>
      <c r="AH501" s="148"/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</row>
    <row r="502" spans="1:55" x14ac:dyDescent="0.2">
      <c r="A502" s="148"/>
      <c r="B502" s="148"/>
      <c r="C502" s="148"/>
      <c r="D502" s="148"/>
      <c r="E502" s="148"/>
      <c r="F502" s="148"/>
      <c r="G502" s="148"/>
      <c r="H502" s="148"/>
      <c r="I502" s="148"/>
      <c r="J502" s="148"/>
      <c r="K502" s="148"/>
      <c r="L502" s="148"/>
      <c r="M502" s="148"/>
      <c r="N502" s="148"/>
      <c r="O502" s="148"/>
      <c r="P502" s="148"/>
      <c r="Q502" s="148"/>
      <c r="R502" s="148"/>
      <c r="S502" s="148"/>
      <c r="T502" s="148"/>
      <c r="U502" s="148"/>
      <c r="V502" s="148"/>
      <c r="W502" s="148"/>
      <c r="X502" s="148"/>
      <c r="Y502" s="148"/>
      <c r="Z502" s="148"/>
      <c r="AA502" s="148"/>
      <c r="AB502" s="148"/>
      <c r="AC502" s="148"/>
      <c r="AD502" s="148"/>
      <c r="AE502" s="148"/>
      <c r="AF502" s="148"/>
      <c r="AG502" s="148"/>
      <c r="AH502" s="148"/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</row>
    <row r="503" spans="1:55" x14ac:dyDescent="0.2">
      <c r="A503" s="148"/>
      <c r="B503" s="148"/>
      <c r="C503" s="148"/>
      <c r="D503" s="148"/>
      <c r="E503" s="148"/>
      <c r="F503" s="148"/>
      <c r="G503" s="148"/>
      <c r="H503" s="148"/>
      <c r="I503" s="148"/>
      <c r="J503" s="148"/>
      <c r="K503" s="148"/>
      <c r="L503" s="148"/>
      <c r="M503" s="148"/>
      <c r="N503" s="148"/>
      <c r="O503" s="148"/>
      <c r="P503" s="148"/>
      <c r="Q503" s="148"/>
      <c r="R503" s="148"/>
      <c r="S503" s="148"/>
      <c r="T503" s="148"/>
      <c r="U503" s="148"/>
      <c r="V503" s="148"/>
      <c r="W503" s="148"/>
      <c r="X503" s="148"/>
      <c r="Y503" s="148"/>
      <c r="Z503" s="148"/>
      <c r="AA503" s="148"/>
      <c r="AB503" s="148"/>
      <c r="AC503" s="148"/>
      <c r="AD503" s="148"/>
      <c r="AE503" s="148"/>
      <c r="AF503" s="148"/>
      <c r="AG503" s="148"/>
      <c r="AH503" s="148"/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</row>
    <row r="504" spans="1:55" x14ac:dyDescent="0.2">
      <c r="A504" s="148"/>
      <c r="B504" s="148"/>
      <c r="C504" s="148"/>
      <c r="D504" s="148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48"/>
      <c r="R504" s="148"/>
      <c r="S504" s="148"/>
      <c r="T504" s="148"/>
      <c r="U504" s="148"/>
      <c r="V504" s="148"/>
      <c r="W504" s="148"/>
      <c r="X504" s="148"/>
      <c r="Y504" s="148"/>
      <c r="Z504" s="148"/>
      <c r="AA504" s="148"/>
      <c r="AB504" s="148"/>
      <c r="AC504" s="148"/>
      <c r="AD504" s="148"/>
      <c r="AE504" s="148"/>
      <c r="AF504" s="148"/>
      <c r="AG504" s="148"/>
      <c r="AH504" s="148"/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</row>
    <row r="505" spans="1:55" x14ac:dyDescent="0.2">
      <c r="A505" s="148"/>
      <c r="B505" s="148"/>
      <c r="C505" s="148"/>
      <c r="D505" s="148"/>
      <c r="E505" s="148"/>
      <c r="F505" s="148"/>
      <c r="G505" s="148"/>
      <c r="H505" s="148"/>
      <c r="I505" s="148"/>
      <c r="J505" s="148"/>
      <c r="K505" s="148"/>
      <c r="L505" s="148"/>
      <c r="M505" s="148"/>
      <c r="N505" s="148"/>
      <c r="O505" s="148"/>
      <c r="P505" s="148"/>
      <c r="Q505" s="148"/>
      <c r="R505" s="148"/>
      <c r="S505" s="148"/>
      <c r="T505" s="148"/>
      <c r="U505" s="148"/>
      <c r="V505" s="148"/>
      <c r="W505" s="148"/>
      <c r="X505" s="148"/>
      <c r="Y505" s="148"/>
      <c r="Z505" s="148"/>
      <c r="AA505" s="148"/>
      <c r="AB505" s="148"/>
      <c r="AC505" s="148"/>
      <c r="AD505" s="148"/>
      <c r="AE505" s="148"/>
      <c r="AF505" s="148"/>
      <c r="AG505" s="148"/>
      <c r="AH505" s="148"/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</row>
    <row r="506" spans="1:55" x14ac:dyDescent="0.2">
      <c r="A506" s="148"/>
      <c r="B506" s="148"/>
      <c r="C506" s="148"/>
      <c r="D506" s="148"/>
      <c r="E506" s="148"/>
      <c r="F506" s="148"/>
      <c r="G506" s="148"/>
      <c r="H506" s="148"/>
      <c r="I506" s="148"/>
      <c r="J506" s="148"/>
      <c r="K506" s="148"/>
      <c r="L506" s="148"/>
      <c r="M506" s="148"/>
      <c r="N506" s="148"/>
      <c r="O506" s="148"/>
      <c r="P506" s="148"/>
      <c r="Q506" s="148"/>
      <c r="R506" s="148"/>
      <c r="S506" s="148"/>
      <c r="T506" s="148"/>
      <c r="U506" s="148"/>
      <c r="V506" s="148"/>
      <c r="W506" s="148"/>
      <c r="X506" s="148"/>
      <c r="Y506" s="148"/>
      <c r="Z506" s="148"/>
      <c r="AA506" s="148"/>
      <c r="AB506" s="148"/>
      <c r="AC506" s="148"/>
      <c r="AD506" s="148"/>
      <c r="AE506" s="148"/>
      <c r="AF506" s="148"/>
      <c r="AG506" s="148"/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</row>
    <row r="507" spans="1:55" x14ac:dyDescent="0.2">
      <c r="A507" s="148"/>
      <c r="B507" s="148"/>
      <c r="C507" s="148"/>
      <c r="D507" s="148"/>
      <c r="E507" s="148"/>
      <c r="F507" s="148"/>
      <c r="G507" s="148"/>
      <c r="H507" s="148"/>
      <c r="I507" s="148"/>
      <c r="J507" s="148"/>
      <c r="K507" s="148"/>
      <c r="L507" s="148"/>
      <c r="M507" s="148"/>
      <c r="N507" s="148"/>
      <c r="O507" s="148"/>
      <c r="P507" s="148"/>
      <c r="Q507" s="148"/>
      <c r="R507" s="148"/>
      <c r="S507" s="148"/>
      <c r="T507" s="148"/>
      <c r="U507" s="148"/>
      <c r="V507" s="148"/>
      <c r="W507" s="148"/>
      <c r="X507" s="148"/>
      <c r="Y507" s="148"/>
      <c r="Z507" s="148"/>
      <c r="AA507" s="148"/>
      <c r="AB507" s="148"/>
      <c r="AC507" s="148"/>
      <c r="AD507" s="148"/>
      <c r="AE507" s="148"/>
      <c r="AF507" s="148"/>
      <c r="AG507" s="148"/>
      <c r="AH507" s="148"/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</row>
    <row r="508" spans="1:55" x14ac:dyDescent="0.2">
      <c r="A508" s="148"/>
      <c r="B508" s="148"/>
      <c r="C508" s="148"/>
      <c r="D508" s="148"/>
      <c r="E508" s="148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148"/>
      <c r="R508" s="148"/>
      <c r="S508" s="148"/>
      <c r="T508" s="148"/>
      <c r="U508" s="148"/>
      <c r="V508" s="148"/>
      <c r="W508" s="148"/>
      <c r="X508" s="148"/>
      <c r="Y508" s="148"/>
      <c r="Z508" s="148"/>
      <c r="AA508" s="148"/>
      <c r="AB508" s="148"/>
      <c r="AC508" s="148"/>
      <c r="AD508" s="148"/>
      <c r="AE508" s="148"/>
      <c r="AF508" s="148"/>
      <c r="AG508" s="148"/>
      <c r="AH508" s="148"/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</row>
    <row r="509" spans="1:55" x14ac:dyDescent="0.2">
      <c r="A509" s="148"/>
      <c r="B509" s="148"/>
      <c r="C509" s="148"/>
      <c r="D509" s="148"/>
      <c r="E509" s="148"/>
      <c r="F509" s="148"/>
      <c r="G509" s="148"/>
      <c r="H509" s="148"/>
      <c r="I509" s="148"/>
      <c r="J509" s="148"/>
      <c r="K509" s="148"/>
      <c r="L509" s="148"/>
      <c r="M509" s="148"/>
      <c r="N509" s="148"/>
      <c r="O509" s="148"/>
      <c r="P509" s="148"/>
      <c r="Q509" s="148"/>
      <c r="R509" s="148"/>
      <c r="S509" s="148"/>
      <c r="T509" s="148"/>
      <c r="U509" s="148"/>
      <c r="V509" s="148"/>
      <c r="W509" s="14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/>
      <c r="AH509" s="148"/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</row>
    <row r="510" spans="1:55" x14ac:dyDescent="0.2">
      <c r="A510" s="148"/>
      <c r="B510" s="148"/>
      <c r="C510" s="148"/>
      <c r="D510" s="148"/>
      <c r="E510" s="148"/>
      <c r="F510" s="148"/>
      <c r="G510" s="148"/>
      <c r="H510" s="148"/>
      <c r="I510" s="148"/>
      <c r="J510" s="148"/>
      <c r="K510" s="148"/>
      <c r="L510" s="148"/>
      <c r="M510" s="148"/>
      <c r="N510" s="148"/>
      <c r="O510" s="148"/>
      <c r="P510" s="148"/>
      <c r="Q510" s="148"/>
      <c r="R510" s="148"/>
      <c r="S510" s="148"/>
      <c r="T510" s="148"/>
      <c r="U510" s="148"/>
      <c r="V510" s="148"/>
      <c r="W510" s="14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</row>
    <row r="511" spans="1:55" x14ac:dyDescent="0.2">
      <c r="A511" s="148"/>
      <c r="B511" s="148"/>
      <c r="C511" s="148"/>
      <c r="D511" s="148"/>
      <c r="E511" s="148"/>
      <c r="F511" s="148"/>
      <c r="G511" s="148"/>
      <c r="H511" s="148"/>
      <c r="I511" s="148"/>
      <c r="J511" s="148"/>
      <c r="K511" s="148"/>
      <c r="L511" s="148"/>
      <c r="M511" s="148"/>
      <c r="N511" s="148"/>
      <c r="O511" s="148"/>
      <c r="P511" s="148"/>
      <c r="Q511" s="148"/>
      <c r="R511" s="148"/>
      <c r="S511" s="148"/>
      <c r="T511" s="148"/>
      <c r="U511" s="148"/>
      <c r="V511" s="148"/>
      <c r="W511" s="14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</row>
    <row r="512" spans="1:55" x14ac:dyDescent="0.2">
      <c r="A512" s="148"/>
      <c r="B512" s="148"/>
      <c r="C512" s="148"/>
      <c r="D512" s="148"/>
      <c r="E512" s="148"/>
      <c r="F512" s="148"/>
      <c r="G512" s="148"/>
      <c r="H512" s="148"/>
      <c r="I512" s="148"/>
      <c r="J512" s="148"/>
      <c r="K512" s="148"/>
      <c r="L512" s="148"/>
      <c r="M512" s="148"/>
      <c r="N512" s="148"/>
      <c r="O512" s="148"/>
      <c r="P512" s="148"/>
      <c r="Q512" s="148"/>
      <c r="R512" s="148"/>
      <c r="S512" s="148"/>
      <c r="T512" s="148"/>
      <c r="U512" s="148"/>
      <c r="V512" s="148"/>
      <c r="W512" s="14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/>
      <c r="AH512" s="148"/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</row>
    <row r="513" spans="1:55" x14ac:dyDescent="0.2">
      <c r="A513" s="148"/>
      <c r="B513" s="148"/>
      <c r="C513" s="148"/>
      <c r="D513" s="148"/>
      <c r="E513" s="148"/>
      <c r="F513" s="148"/>
      <c r="G513" s="148"/>
      <c r="H513" s="148"/>
      <c r="I513" s="148"/>
      <c r="J513" s="148"/>
      <c r="K513" s="148"/>
      <c r="L513" s="148"/>
      <c r="M513" s="148"/>
      <c r="N513" s="148"/>
      <c r="O513" s="148"/>
      <c r="P513" s="148"/>
      <c r="Q513" s="148"/>
      <c r="R513" s="148"/>
      <c r="S513" s="148"/>
      <c r="T513" s="148"/>
      <c r="U513" s="148"/>
      <c r="V513" s="148"/>
      <c r="W513" s="14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</row>
    <row r="514" spans="1:55" x14ac:dyDescent="0.2">
      <c r="A514" s="148"/>
      <c r="B514" s="148"/>
      <c r="C514" s="148"/>
      <c r="D514" s="148"/>
      <c r="E514" s="148"/>
      <c r="F514" s="148"/>
      <c r="G514" s="148"/>
      <c r="H514" s="148"/>
      <c r="I514" s="148"/>
      <c r="J514" s="148"/>
      <c r="K514" s="148"/>
      <c r="L514" s="148"/>
      <c r="M514" s="148"/>
      <c r="N514" s="148"/>
      <c r="O514" s="148"/>
      <c r="P514" s="148"/>
      <c r="Q514" s="148"/>
      <c r="R514" s="148"/>
      <c r="S514" s="148"/>
      <c r="T514" s="148"/>
      <c r="U514" s="148"/>
      <c r="V514" s="148"/>
      <c r="W514" s="14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/>
      <c r="AH514" s="148"/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</row>
    <row r="515" spans="1:55" x14ac:dyDescent="0.2">
      <c r="A515" s="148"/>
      <c r="B515" s="148"/>
      <c r="C515" s="148"/>
      <c r="D515" s="148"/>
      <c r="E515" s="148"/>
      <c r="F515" s="148"/>
      <c r="G515" s="148"/>
      <c r="H515" s="148"/>
      <c r="I515" s="148"/>
      <c r="J515" s="148"/>
      <c r="K515" s="148"/>
      <c r="L515" s="148"/>
      <c r="M515" s="148"/>
      <c r="N515" s="148"/>
      <c r="O515" s="148"/>
      <c r="P515" s="148"/>
      <c r="Q515" s="148"/>
      <c r="R515" s="148"/>
      <c r="S515" s="148"/>
      <c r="T515" s="148"/>
      <c r="U515" s="148"/>
      <c r="V515" s="148"/>
      <c r="W515" s="14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/>
      <c r="AH515" s="148"/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</row>
    <row r="516" spans="1:55" x14ac:dyDescent="0.2">
      <c r="A516" s="148"/>
      <c r="B516" s="148"/>
      <c r="C516" s="148"/>
      <c r="D516" s="148"/>
      <c r="E516" s="148"/>
      <c r="F516" s="148"/>
      <c r="G516" s="148"/>
      <c r="H516" s="148"/>
      <c r="I516" s="148"/>
      <c r="J516" s="148"/>
      <c r="K516" s="148"/>
      <c r="L516" s="148"/>
      <c r="M516" s="148"/>
      <c r="N516" s="148"/>
      <c r="O516" s="148"/>
      <c r="P516" s="148"/>
      <c r="Q516" s="148"/>
      <c r="R516" s="148"/>
      <c r="S516" s="148"/>
      <c r="T516" s="148"/>
      <c r="U516" s="148"/>
      <c r="V516" s="148"/>
      <c r="W516" s="14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/>
      <c r="AH516" s="148"/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</row>
    <row r="517" spans="1:55" x14ac:dyDescent="0.2">
      <c r="A517" s="148"/>
      <c r="B517" s="148"/>
      <c r="C517" s="148"/>
      <c r="D517" s="148"/>
      <c r="E517" s="148"/>
      <c r="F517" s="148"/>
      <c r="G517" s="148"/>
      <c r="H517" s="148"/>
      <c r="I517" s="148"/>
      <c r="J517" s="148"/>
      <c r="K517" s="148"/>
      <c r="L517" s="148"/>
      <c r="M517" s="148"/>
      <c r="N517" s="148"/>
      <c r="O517" s="148"/>
      <c r="P517" s="148"/>
      <c r="Q517" s="148"/>
      <c r="R517" s="148"/>
      <c r="S517" s="148"/>
      <c r="T517" s="148"/>
      <c r="U517" s="148"/>
      <c r="V517" s="148"/>
      <c r="W517" s="14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</row>
    <row r="518" spans="1:55" x14ac:dyDescent="0.2">
      <c r="A518" s="148"/>
      <c r="B518" s="148"/>
      <c r="C518" s="148"/>
      <c r="D518" s="148"/>
      <c r="E518" s="148"/>
      <c r="F518" s="148"/>
      <c r="G518" s="148"/>
      <c r="H518" s="148"/>
      <c r="I518" s="148"/>
      <c r="J518" s="148"/>
      <c r="K518" s="148"/>
      <c r="L518" s="148"/>
      <c r="M518" s="148"/>
      <c r="N518" s="148"/>
      <c r="O518" s="148"/>
      <c r="P518" s="148"/>
      <c r="Q518" s="148"/>
      <c r="R518" s="148"/>
      <c r="S518" s="148"/>
      <c r="T518" s="148"/>
      <c r="U518" s="148"/>
      <c r="V518" s="148"/>
      <c r="W518" s="14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</row>
    <row r="519" spans="1:55" x14ac:dyDescent="0.2">
      <c r="A519" s="148"/>
      <c r="B519" s="148"/>
      <c r="C519" s="148"/>
      <c r="D519" s="148"/>
      <c r="E519" s="148"/>
      <c r="F519" s="148"/>
      <c r="G519" s="148"/>
      <c r="H519" s="148"/>
      <c r="I519" s="148"/>
      <c r="J519" s="148"/>
      <c r="K519" s="148"/>
      <c r="L519" s="148"/>
      <c r="M519" s="148"/>
      <c r="N519" s="148"/>
      <c r="O519" s="148"/>
      <c r="P519" s="148"/>
      <c r="Q519" s="148"/>
      <c r="R519" s="148"/>
      <c r="S519" s="148"/>
      <c r="T519" s="148"/>
      <c r="U519" s="148"/>
      <c r="V519" s="148"/>
      <c r="W519" s="14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</row>
    <row r="520" spans="1:55" x14ac:dyDescent="0.2">
      <c r="A520" s="148"/>
      <c r="B520" s="148"/>
      <c r="C520" s="148"/>
      <c r="D520" s="148"/>
      <c r="E520" s="148"/>
      <c r="F520" s="148"/>
      <c r="G520" s="148"/>
      <c r="H520" s="148"/>
      <c r="I520" s="148"/>
      <c r="J520" s="148"/>
      <c r="K520" s="148"/>
      <c r="L520" s="148"/>
      <c r="M520" s="148"/>
      <c r="N520" s="148"/>
      <c r="O520" s="148"/>
      <c r="P520" s="148"/>
      <c r="Q520" s="148"/>
      <c r="R520" s="148"/>
      <c r="S520" s="148"/>
      <c r="T520" s="148"/>
      <c r="U520" s="148"/>
      <c r="V520" s="148"/>
      <c r="W520" s="148"/>
      <c r="X520" s="148"/>
      <c r="Y520" s="148"/>
      <c r="Z520" s="148"/>
      <c r="AA520" s="148"/>
      <c r="AB520" s="148"/>
      <c r="AC520" s="148"/>
      <c r="AD520" s="148"/>
      <c r="AE520" s="148"/>
      <c r="AF520" s="148"/>
      <c r="AG520" s="148"/>
      <c r="AH520" s="148"/>
      <c r="AI520" s="148"/>
      <c r="AJ520" s="148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</row>
    <row r="521" spans="1:55" x14ac:dyDescent="0.2">
      <c r="A521" s="148"/>
      <c r="B521" s="148"/>
      <c r="C521" s="148"/>
      <c r="D521" s="148"/>
      <c r="E521" s="148"/>
      <c r="F521" s="148"/>
      <c r="G521" s="148"/>
      <c r="H521" s="148"/>
      <c r="I521" s="148"/>
      <c r="J521" s="148"/>
      <c r="K521" s="148"/>
      <c r="L521" s="148"/>
      <c r="M521" s="148"/>
      <c r="N521" s="148"/>
      <c r="O521" s="148"/>
      <c r="P521" s="148"/>
      <c r="Q521" s="148"/>
      <c r="R521" s="148"/>
      <c r="S521" s="148"/>
      <c r="T521" s="148"/>
      <c r="U521" s="148"/>
      <c r="V521" s="148"/>
      <c r="W521" s="14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/>
      <c r="AH521" s="148"/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</row>
    <row r="522" spans="1:55" x14ac:dyDescent="0.2">
      <c r="A522" s="148"/>
      <c r="B522" s="148"/>
      <c r="C522" s="148"/>
      <c r="D522" s="148"/>
      <c r="E522" s="148"/>
      <c r="F522" s="148"/>
      <c r="G522" s="148"/>
      <c r="H522" s="148"/>
      <c r="I522" s="148"/>
      <c r="J522" s="148"/>
      <c r="K522" s="148"/>
      <c r="L522" s="148"/>
      <c r="M522" s="148"/>
      <c r="N522" s="148"/>
      <c r="O522" s="148"/>
      <c r="P522" s="148"/>
      <c r="Q522" s="148"/>
      <c r="R522" s="148"/>
      <c r="S522" s="148"/>
      <c r="T522" s="148"/>
      <c r="U522" s="148"/>
      <c r="V522" s="148"/>
      <c r="W522" s="14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/>
      <c r="AH522" s="148"/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</row>
    <row r="523" spans="1:55" x14ac:dyDescent="0.2">
      <c r="A523" s="148"/>
      <c r="B523" s="148"/>
      <c r="C523" s="148"/>
      <c r="D523" s="148"/>
      <c r="E523" s="148"/>
      <c r="F523" s="148"/>
      <c r="G523" s="148"/>
      <c r="H523" s="148"/>
      <c r="I523" s="148"/>
      <c r="J523" s="148"/>
      <c r="K523" s="148"/>
      <c r="L523" s="148"/>
      <c r="M523" s="148"/>
      <c r="N523" s="148"/>
      <c r="O523" s="148"/>
      <c r="P523" s="148"/>
      <c r="Q523" s="148"/>
      <c r="R523" s="148"/>
      <c r="S523" s="148"/>
      <c r="T523" s="148"/>
      <c r="U523" s="148"/>
      <c r="V523" s="148"/>
      <c r="W523" s="148"/>
      <c r="X523" s="148"/>
      <c r="Y523" s="148"/>
      <c r="Z523" s="148"/>
      <c r="AA523" s="148"/>
      <c r="AB523" s="148"/>
      <c r="AC523" s="148"/>
      <c r="AD523" s="148"/>
      <c r="AE523" s="148"/>
      <c r="AF523" s="148"/>
      <c r="AG523" s="148"/>
      <c r="AH523" s="148"/>
      <c r="AI523" s="148"/>
      <c r="AJ523" s="148"/>
      <c r="AK523" s="148"/>
      <c r="AL523" s="148"/>
      <c r="AM523" s="148"/>
      <c r="AN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</row>
    <row r="524" spans="1:55" x14ac:dyDescent="0.2">
      <c r="A524" s="148"/>
      <c r="B524" s="148"/>
      <c r="C524" s="148"/>
      <c r="D524" s="148"/>
      <c r="E524" s="148"/>
      <c r="F524" s="148"/>
      <c r="G524" s="148"/>
      <c r="H524" s="148"/>
      <c r="I524" s="148"/>
      <c r="J524" s="148"/>
      <c r="K524" s="148"/>
      <c r="L524" s="148"/>
      <c r="M524" s="148"/>
      <c r="N524" s="148"/>
      <c r="O524" s="148"/>
      <c r="P524" s="148"/>
      <c r="Q524" s="148"/>
      <c r="R524" s="148"/>
      <c r="S524" s="148"/>
      <c r="T524" s="148"/>
      <c r="U524" s="148"/>
      <c r="V524" s="148"/>
      <c r="W524" s="14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/>
      <c r="AH524" s="148"/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</row>
    <row r="525" spans="1:55" x14ac:dyDescent="0.2">
      <c r="A525" s="148"/>
      <c r="B525" s="148"/>
      <c r="C525" s="148"/>
      <c r="D525" s="148"/>
      <c r="E525" s="148"/>
      <c r="F525" s="148"/>
      <c r="G525" s="148"/>
      <c r="H525" s="148"/>
      <c r="I525" s="148"/>
      <c r="J525" s="148"/>
      <c r="K525" s="148"/>
      <c r="L525" s="148"/>
      <c r="M525" s="148"/>
      <c r="N525" s="148"/>
      <c r="O525" s="148"/>
      <c r="P525" s="148"/>
      <c r="Q525" s="148"/>
      <c r="R525" s="148"/>
      <c r="S525" s="148"/>
      <c r="T525" s="148"/>
      <c r="U525" s="148"/>
      <c r="V525" s="148"/>
      <c r="W525" s="14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/>
      <c r="AH525" s="148"/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</row>
    <row r="526" spans="1:55" x14ac:dyDescent="0.2">
      <c r="A526" s="148"/>
      <c r="B526" s="148"/>
      <c r="C526" s="148"/>
      <c r="D526" s="148"/>
      <c r="E526" s="148"/>
      <c r="F526" s="148"/>
      <c r="G526" s="148"/>
      <c r="H526" s="148"/>
      <c r="I526" s="148"/>
      <c r="J526" s="148"/>
      <c r="K526" s="148"/>
      <c r="L526" s="148"/>
      <c r="M526" s="148"/>
      <c r="N526" s="148"/>
      <c r="O526" s="148"/>
      <c r="P526" s="148"/>
      <c r="Q526" s="148"/>
      <c r="R526" s="148"/>
      <c r="S526" s="148"/>
      <c r="T526" s="148"/>
      <c r="U526" s="148"/>
      <c r="V526" s="148"/>
      <c r="W526" s="148"/>
      <c r="X526" s="148"/>
      <c r="Y526" s="148"/>
      <c r="Z526" s="148"/>
      <c r="AA526" s="148"/>
      <c r="AB526" s="148"/>
      <c r="AC526" s="148"/>
      <c r="AD526" s="148"/>
      <c r="AE526" s="148"/>
      <c r="AF526" s="148"/>
      <c r="AG526" s="148"/>
      <c r="AH526" s="148"/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</row>
    <row r="527" spans="1:55" x14ac:dyDescent="0.2">
      <c r="A527" s="148"/>
      <c r="B527" s="148"/>
      <c r="C527" s="148"/>
      <c r="D527" s="148"/>
      <c r="E527" s="148"/>
      <c r="F527" s="148"/>
      <c r="G527" s="148"/>
      <c r="H527" s="148"/>
      <c r="I527" s="148"/>
      <c r="J527" s="148"/>
      <c r="K527" s="148"/>
      <c r="L527" s="148"/>
      <c r="M527" s="148"/>
      <c r="N527" s="148"/>
      <c r="O527" s="148"/>
      <c r="P527" s="148"/>
      <c r="Q527" s="148"/>
      <c r="R527" s="148"/>
      <c r="S527" s="148"/>
      <c r="T527" s="148"/>
      <c r="U527" s="148"/>
      <c r="V527" s="148"/>
      <c r="W527" s="148"/>
      <c r="X527" s="148"/>
      <c r="Y527" s="148"/>
      <c r="Z527" s="148"/>
      <c r="AA527" s="148"/>
      <c r="AB527" s="148"/>
      <c r="AC527" s="148"/>
      <c r="AD527" s="148"/>
      <c r="AE527" s="148"/>
      <c r="AF527" s="148"/>
      <c r="AG527" s="148"/>
      <c r="AH527" s="148"/>
      <c r="AI527" s="148"/>
      <c r="AJ527" s="148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</row>
    <row r="528" spans="1:55" x14ac:dyDescent="0.2">
      <c r="A528" s="148"/>
      <c r="B528" s="148"/>
      <c r="C528" s="148"/>
      <c r="D528" s="148"/>
      <c r="E528" s="148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48"/>
      <c r="R528" s="148"/>
      <c r="S528" s="148"/>
      <c r="T528" s="148"/>
      <c r="U528" s="148"/>
      <c r="V528" s="148"/>
      <c r="W528" s="14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/>
      <c r="AH528" s="148"/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</row>
    <row r="529" spans="1:55" x14ac:dyDescent="0.2">
      <c r="A529" s="148"/>
      <c r="B529" s="148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  <c r="S529" s="148"/>
      <c r="T529" s="148"/>
      <c r="U529" s="148"/>
      <c r="V529" s="148"/>
      <c r="W529" s="14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</row>
    <row r="530" spans="1:55" x14ac:dyDescent="0.2">
      <c r="A530" s="148"/>
      <c r="B530" s="148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8"/>
      <c r="V530" s="148"/>
      <c r="W530" s="14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</row>
    <row r="531" spans="1:55" x14ac:dyDescent="0.2">
      <c r="A531" s="148"/>
      <c r="B531" s="148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8"/>
      <c r="V531" s="148"/>
      <c r="W531" s="14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</row>
    <row r="532" spans="1:55" x14ac:dyDescent="0.2">
      <c r="A532" s="148"/>
      <c r="B532" s="148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8"/>
      <c r="V532" s="148"/>
      <c r="W532" s="14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</row>
    <row r="533" spans="1:55" x14ac:dyDescent="0.2">
      <c r="A533" s="148"/>
      <c r="B533" s="148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8"/>
      <c r="V533" s="148"/>
      <c r="W533" s="14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</row>
    <row r="534" spans="1:55" x14ac:dyDescent="0.2">
      <c r="A534" s="148"/>
      <c r="B534" s="148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</row>
    <row r="535" spans="1:55" x14ac:dyDescent="0.2">
      <c r="A535" s="148"/>
      <c r="B535" s="148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</row>
    <row r="536" spans="1:55" x14ac:dyDescent="0.2">
      <c r="A536" s="148"/>
      <c r="B536" s="148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</row>
    <row r="537" spans="1:55" x14ac:dyDescent="0.2">
      <c r="A537" s="148"/>
      <c r="B537" s="148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</row>
    <row r="538" spans="1:55" x14ac:dyDescent="0.2">
      <c r="A538" s="148"/>
      <c r="B538" s="148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</row>
    <row r="539" spans="1:55" x14ac:dyDescent="0.2">
      <c r="A539" s="148"/>
      <c r="B539" s="148"/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</row>
    <row r="540" spans="1:55" x14ac:dyDescent="0.2">
      <c r="A540" s="148"/>
      <c r="B540" s="148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</row>
    <row r="541" spans="1:55" x14ac:dyDescent="0.2">
      <c r="A541" s="148"/>
      <c r="B541" s="148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</row>
    <row r="542" spans="1:55" x14ac:dyDescent="0.2">
      <c r="A542" s="148"/>
      <c r="B542" s="148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</row>
    <row r="543" spans="1:55" x14ac:dyDescent="0.2">
      <c r="A543" s="148"/>
      <c r="B543" s="148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</row>
    <row r="544" spans="1:55" x14ac:dyDescent="0.2">
      <c r="A544" s="148"/>
      <c r="B544" s="148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</row>
    <row r="545" spans="1:55" x14ac:dyDescent="0.2">
      <c r="A545" s="148"/>
      <c r="B545" s="148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</row>
    <row r="546" spans="1:55" x14ac:dyDescent="0.2">
      <c r="A546" s="148"/>
      <c r="B546" s="148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</row>
    <row r="547" spans="1:55" x14ac:dyDescent="0.2">
      <c r="A547" s="148"/>
      <c r="B547" s="148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</row>
    <row r="548" spans="1:55" x14ac:dyDescent="0.2">
      <c r="A548" s="148"/>
      <c r="B548" s="148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</row>
    <row r="549" spans="1:55" x14ac:dyDescent="0.2">
      <c r="A549" s="148"/>
      <c r="B549" s="148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</row>
    <row r="550" spans="1:55" x14ac:dyDescent="0.2">
      <c r="A550" s="148"/>
      <c r="B550" s="148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</row>
    <row r="551" spans="1:55" x14ac:dyDescent="0.2">
      <c r="A551" s="148"/>
      <c r="B551" s="148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</row>
    <row r="552" spans="1:55" x14ac:dyDescent="0.2">
      <c r="A552" s="148"/>
      <c r="B552" s="148"/>
      <c r="C552" s="148"/>
      <c r="D552" s="148"/>
      <c r="E552" s="148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148"/>
      <c r="R552" s="148"/>
      <c r="S552" s="148"/>
      <c r="T552" s="148"/>
      <c r="U552" s="148"/>
      <c r="V552" s="148"/>
      <c r="W552" s="14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</row>
    <row r="553" spans="1:55" x14ac:dyDescent="0.2">
      <c r="A553" s="148"/>
      <c r="B553" s="148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</row>
    <row r="554" spans="1:55" x14ac:dyDescent="0.2">
      <c r="A554" s="148"/>
      <c r="B554" s="148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</row>
    <row r="555" spans="1:55" x14ac:dyDescent="0.2">
      <c r="A555" s="148"/>
      <c r="B555" s="148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8"/>
      <c r="V555" s="148"/>
      <c r="W555" s="148"/>
      <c r="X555" s="148"/>
      <c r="Y555" s="148"/>
      <c r="Z555" s="148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</row>
    <row r="556" spans="1:55" x14ac:dyDescent="0.2">
      <c r="A556" s="148"/>
      <c r="B556" s="148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</row>
    <row r="557" spans="1:55" x14ac:dyDescent="0.2">
      <c r="A557" s="148"/>
      <c r="B557" s="148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</row>
    <row r="558" spans="1:55" x14ac:dyDescent="0.2">
      <c r="A558" s="148"/>
      <c r="B558" s="148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</row>
    <row r="559" spans="1:55" x14ac:dyDescent="0.2">
      <c r="A559" s="148"/>
      <c r="B559" s="148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</row>
    <row r="560" spans="1:55" x14ac:dyDescent="0.2">
      <c r="A560" s="148"/>
      <c r="B560" s="148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</row>
    <row r="561" spans="1:55" x14ac:dyDescent="0.2">
      <c r="A561" s="148"/>
      <c r="B561" s="148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</row>
    <row r="562" spans="1:55" x14ac:dyDescent="0.2">
      <c r="A562" s="148"/>
      <c r="B562" s="148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</row>
    <row r="563" spans="1:55" x14ac:dyDescent="0.2">
      <c r="A563" s="148"/>
      <c r="B563" s="148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</row>
    <row r="564" spans="1:55" x14ac:dyDescent="0.2">
      <c r="A564" s="148"/>
      <c r="B564" s="148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</row>
    <row r="565" spans="1:55" x14ac:dyDescent="0.2">
      <c r="A565" s="148"/>
      <c r="B565" s="148"/>
      <c r="C565" s="148"/>
      <c r="D565" s="148"/>
      <c r="E565" s="148"/>
      <c r="F565" s="148"/>
      <c r="G565" s="148"/>
      <c r="H565" s="148"/>
      <c r="I565" s="148"/>
      <c r="J565" s="148"/>
      <c r="K565" s="148"/>
      <c r="L565" s="148"/>
      <c r="M565" s="148"/>
      <c r="N565" s="148"/>
      <c r="O565" s="148"/>
      <c r="P565" s="148"/>
      <c r="Q565" s="148"/>
      <c r="R565" s="148"/>
      <c r="S565" s="148"/>
      <c r="T565" s="148"/>
      <c r="U565" s="148"/>
      <c r="V565" s="148"/>
      <c r="W565" s="14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</row>
    <row r="566" spans="1:55" x14ac:dyDescent="0.2">
      <c r="A566" s="148"/>
      <c r="B566" s="148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</row>
    <row r="567" spans="1:55" x14ac:dyDescent="0.2">
      <c r="A567" s="148"/>
      <c r="B567" s="148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</row>
    <row r="568" spans="1:55" x14ac:dyDescent="0.2">
      <c r="A568" s="148"/>
      <c r="B568" s="148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</row>
    <row r="569" spans="1:55" x14ac:dyDescent="0.2">
      <c r="A569" s="148"/>
      <c r="B569" s="148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</row>
    <row r="570" spans="1:55" x14ac:dyDescent="0.2">
      <c r="A570" s="148"/>
      <c r="B570" s="148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</row>
    <row r="571" spans="1:55" x14ac:dyDescent="0.2">
      <c r="A571" s="148"/>
      <c r="B571" s="148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</row>
    <row r="572" spans="1:55" x14ac:dyDescent="0.2">
      <c r="A572" s="148"/>
      <c r="B572" s="148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</row>
    <row r="573" spans="1:55" x14ac:dyDescent="0.2">
      <c r="A573" s="148"/>
      <c r="B573" s="148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</row>
    <row r="574" spans="1:55" x14ac:dyDescent="0.2">
      <c r="A574" s="148"/>
      <c r="B574" s="148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  <c r="Y574" s="148"/>
      <c r="Z574" s="148"/>
      <c r="AA574" s="148"/>
      <c r="AB574" s="148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</row>
    <row r="575" spans="1:55" x14ac:dyDescent="0.2">
      <c r="A575" s="148"/>
      <c r="B575" s="148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8"/>
      <c r="V575" s="148"/>
      <c r="W575" s="148"/>
      <c r="X575" s="148"/>
      <c r="Y575" s="148"/>
      <c r="Z575" s="148"/>
      <c r="AA575" s="148"/>
      <c r="AB575" s="148"/>
      <c r="AC575" s="148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</row>
    <row r="576" spans="1:55" x14ac:dyDescent="0.2">
      <c r="A576" s="148"/>
      <c r="B576" s="148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  <c r="Y576" s="148"/>
      <c r="Z576" s="148"/>
      <c r="AA576" s="148"/>
      <c r="AB576" s="148"/>
      <c r="AC576" s="148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</row>
    <row r="577" spans="1:55" x14ac:dyDescent="0.2">
      <c r="A577" s="148"/>
      <c r="B577" s="148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8"/>
      <c r="V577" s="148"/>
      <c r="W577" s="148"/>
      <c r="X577" s="148"/>
      <c r="Y577" s="148"/>
      <c r="Z577" s="148"/>
      <c r="AA577" s="148"/>
      <c r="AB577" s="148"/>
      <c r="AC577" s="148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</row>
    <row r="578" spans="1:55" x14ac:dyDescent="0.2">
      <c r="A578" s="148"/>
      <c r="B578" s="148"/>
      <c r="C578" s="148"/>
      <c r="D578" s="148"/>
      <c r="E578" s="148"/>
      <c r="F578" s="148"/>
      <c r="G578" s="148"/>
      <c r="H578" s="148"/>
      <c r="I578" s="148"/>
      <c r="J578" s="148"/>
      <c r="K578" s="148"/>
      <c r="L578" s="148"/>
      <c r="M578" s="148"/>
      <c r="N578" s="148"/>
      <c r="O578" s="148"/>
      <c r="P578" s="148"/>
      <c r="Q578" s="148"/>
      <c r="R578" s="148"/>
      <c r="S578" s="148"/>
      <c r="T578" s="148"/>
      <c r="U578" s="148"/>
      <c r="V578" s="148"/>
      <c r="W578" s="148"/>
      <c r="X578" s="148"/>
      <c r="Y578" s="148"/>
      <c r="Z578" s="148"/>
      <c r="AA578" s="148"/>
      <c r="AB578" s="148"/>
      <c r="AC578" s="148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</row>
    <row r="579" spans="1:55" x14ac:dyDescent="0.2">
      <c r="A579" s="148"/>
      <c r="B579" s="148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8"/>
      <c r="V579" s="148"/>
      <c r="W579" s="148"/>
      <c r="X579" s="148"/>
      <c r="Y579" s="148"/>
      <c r="Z579" s="148"/>
      <c r="AA579" s="148"/>
      <c r="AB579" s="148"/>
      <c r="AC579" s="148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</row>
    <row r="580" spans="1:55" x14ac:dyDescent="0.2">
      <c r="A580" s="148"/>
      <c r="B580" s="148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</row>
    <row r="581" spans="1:55" x14ac:dyDescent="0.2">
      <c r="A581" s="148"/>
      <c r="B581" s="148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</row>
    <row r="582" spans="1:55" x14ac:dyDescent="0.2">
      <c r="A582" s="148"/>
      <c r="B582" s="148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</row>
    <row r="583" spans="1:55" x14ac:dyDescent="0.2">
      <c r="A583" s="148"/>
      <c r="B583" s="148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</row>
    <row r="584" spans="1:55" x14ac:dyDescent="0.2">
      <c r="A584" s="148"/>
      <c r="B584" s="148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/>
      <c r="AH584" s="148"/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</row>
    <row r="585" spans="1:55" x14ac:dyDescent="0.2">
      <c r="A585" s="148"/>
      <c r="B585" s="148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/>
      <c r="AH585" s="148"/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</row>
    <row r="586" spans="1:55" x14ac:dyDescent="0.2">
      <c r="A586" s="148"/>
      <c r="B586" s="148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/>
      <c r="AH586" s="148"/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</row>
    <row r="587" spans="1:55" x14ac:dyDescent="0.2">
      <c r="A587" s="148"/>
      <c r="B587" s="148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  <c r="Y587" s="148"/>
      <c r="Z587" s="148"/>
      <c r="AA587" s="148"/>
      <c r="AB587" s="148"/>
      <c r="AC587" s="148"/>
      <c r="AD587" s="148"/>
      <c r="AE587" s="148"/>
      <c r="AF587" s="148"/>
      <c r="AG587" s="148"/>
      <c r="AH587" s="148"/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</row>
    <row r="588" spans="1:55" x14ac:dyDescent="0.2">
      <c r="A588" s="148"/>
      <c r="B588" s="148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  <c r="Y588" s="148"/>
      <c r="Z588" s="148"/>
      <c r="AA588" s="148"/>
      <c r="AB588" s="148"/>
      <c r="AC588" s="148"/>
      <c r="AD588" s="148"/>
      <c r="AE588" s="148"/>
      <c r="AF588" s="148"/>
      <c r="AG588" s="148"/>
      <c r="AH588" s="148"/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</row>
    <row r="589" spans="1:55" x14ac:dyDescent="0.2">
      <c r="A589" s="148"/>
      <c r="B589" s="148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</row>
    <row r="590" spans="1:55" x14ac:dyDescent="0.2">
      <c r="A590" s="148"/>
      <c r="B590" s="148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</row>
    <row r="591" spans="1:55" x14ac:dyDescent="0.2">
      <c r="A591" s="148"/>
      <c r="B591" s="148"/>
      <c r="C591" s="148"/>
      <c r="D591" s="148"/>
      <c r="E591" s="148"/>
      <c r="F591" s="148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  <c r="S591" s="148"/>
      <c r="T591" s="148"/>
      <c r="U591" s="148"/>
      <c r="V591" s="148"/>
      <c r="W591" s="14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</row>
    <row r="592" spans="1:55" x14ac:dyDescent="0.2">
      <c r="A592" s="148"/>
      <c r="B592" s="148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</row>
    <row r="593" spans="1:55" x14ac:dyDescent="0.2">
      <c r="A593" s="148"/>
      <c r="B593" s="148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</row>
    <row r="594" spans="1:55" x14ac:dyDescent="0.2">
      <c r="A594" s="148"/>
      <c r="B594" s="148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</row>
    <row r="595" spans="1:55" x14ac:dyDescent="0.2">
      <c r="A595" s="148"/>
      <c r="B595" s="148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</row>
    <row r="596" spans="1:55" x14ac:dyDescent="0.2">
      <c r="A596" s="148"/>
      <c r="B596" s="148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</row>
    <row r="597" spans="1:55" x14ac:dyDescent="0.2">
      <c r="A597" s="148"/>
      <c r="B597" s="148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</row>
    <row r="598" spans="1:55" x14ac:dyDescent="0.2">
      <c r="A598" s="148"/>
      <c r="B598" s="148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  <c r="Y598" s="148"/>
      <c r="Z598" s="148"/>
      <c r="AA598" s="148"/>
      <c r="AB598" s="148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</row>
    <row r="599" spans="1:55" x14ac:dyDescent="0.2">
      <c r="A599" s="148"/>
      <c r="B599" s="148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  <c r="Y599" s="148"/>
      <c r="Z599" s="148"/>
      <c r="AA599" s="148"/>
      <c r="AB599" s="148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</row>
    <row r="600" spans="1:55" x14ac:dyDescent="0.2">
      <c r="A600" s="148"/>
      <c r="B600" s="148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  <c r="Y600" s="148"/>
      <c r="Z600" s="148"/>
      <c r="AA600" s="148"/>
      <c r="AB600" s="148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</row>
    <row r="601" spans="1:55" x14ac:dyDescent="0.2">
      <c r="A601" s="148"/>
      <c r="B601" s="148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8"/>
      <c r="V601" s="148"/>
      <c r="W601" s="148"/>
      <c r="X601" s="148"/>
      <c r="Y601" s="148"/>
      <c r="Z601" s="148"/>
      <c r="AA601" s="148"/>
      <c r="AB601" s="148"/>
      <c r="AC601" s="148"/>
      <c r="AD601" s="148"/>
      <c r="AE601" s="148"/>
      <c r="AF601" s="148"/>
      <c r="AG601" s="148"/>
      <c r="AH601" s="148"/>
      <c r="AI601" s="148"/>
      <c r="AJ601" s="148"/>
      <c r="AK601" s="148"/>
      <c r="AL601" s="148"/>
      <c r="AM601" s="148"/>
      <c r="AN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</row>
    <row r="602" spans="1:55" x14ac:dyDescent="0.2">
      <c r="A602" s="148"/>
      <c r="B602" s="148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8"/>
      <c r="V602" s="148"/>
      <c r="W602" s="148"/>
      <c r="X602" s="148"/>
      <c r="Y602" s="148"/>
      <c r="Z602" s="148"/>
      <c r="AA602" s="148"/>
      <c r="AB602" s="148"/>
      <c r="AC602" s="148"/>
      <c r="AD602" s="148"/>
      <c r="AE602" s="148"/>
      <c r="AF602" s="148"/>
      <c r="AG602" s="148"/>
      <c r="AH602" s="148"/>
      <c r="AI602" s="148"/>
      <c r="AJ602" s="148"/>
      <c r="AK602" s="148"/>
      <c r="AL602" s="148"/>
      <c r="AM602" s="148"/>
      <c r="AN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</row>
    <row r="603" spans="1:55" x14ac:dyDescent="0.2">
      <c r="A603" s="148"/>
      <c r="B603" s="148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8"/>
      <c r="V603" s="148"/>
      <c r="W603" s="148"/>
      <c r="X603" s="148"/>
      <c r="Y603" s="148"/>
      <c r="Z603" s="148"/>
      <c r="AA603" s="148"/>
      <c r="AB603" s="148"/>
      <c r="AC603" s="148"/>
      <c r="AD603" s="148"/>
      <c r="AE603" s="148"/>
      <c r="AF603" s="148"/>
      <c r="AG603" s="148"/>
      <c r="AH603" s="148"/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</row>
    <row r="604" spans="1:55" x14ac:dyDescent="0.2">
      <c r="A604" s="148"/>
      <c r="B604" s="148"/>
      <c r="C604" s="148"/>
      <c r="D604" s="148"/>
      <c r="E604" s="148"/>
      <c r="F604" s="148"/>
      <c r="G604" s="148"/>
      <c r="H604" s="148"/>
      <c r="I604" s="148"/>
      <c r="J604" s="148"/>
      <c r="K604" s="148"/>
      <c r="L604" s="148"/>
      <c r="M604" s="148"/>
      <c r="N604" s="148"/>
      <c r="O604" s="148"/>
      <c r="P604" s="148"/>
      <c r="Q604" s="148"/>
      <c r="R604" s="148"/>
      <c r="S604" s="148"/>
      <c r="T604" s="148"/>
      <c r="U604" s="148"/>
      <c r="V604" s="148"/>
      <c r="W604" s="148"/>
      <c r="X604" s="148"/>
      <c r="Y604" s="148"/>
      <c r="Z604" s="148"/>
      <c r="AA604" s="148"/>
      <c r="AB604" s="148"/>
      <c r="AC604" s="148"/>
      <c r="AD604" s="148"/>
      <c r="AE604" s="148"/>
      <c r="AF604" s="148"/>
      <c r="AG604" s="148"/>
      <c r="AH604" s="148"/>
      <c r="AI604" s="148"/>
      <c r="AJ604" s="148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</row>
    <row r="605" spans="1:55" x14ac:dyDescent="0.2">
      <c r="A605" s="148"/>
      <c r="B605" s="148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8"/>
      <c r="V605" s="148"/>
      <c r="W605" s="148"/>
      <c r="X605" s="148"/>
      <c r="Y605" s="148"/>
      <c r="Z605" s="148"/>
      <c r="AA605" s="148"/>
      <c r="AB605" s="148"/>
      <c r="AC605" s="148"/>
      <c r="AD605" s="148"/>
      <c r="AE605" s="148"/>
      <c r="AF605" s="148"/>
      <c r="AG605" s="148"/>
      <c r="AH605" s="148"/>
      <c r="AI605" s="148"/>
      <c r="AJ605" s="148"/>
      <c r="AK605" s="148"/>
      <c r="AL605" s="148"/>
      <c r="AM605" s="148"/>
      <c r="AN605" s="148"/>
      <c r="AO605" s="148"/>
      <c r="AP605" s="148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</row>
    <row r="606" spans="1:55" x14ac:dyDescent="0.2">
      <c r="A606" s="148"/>
      <c r="B606" s="148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8"/>
      <c r="V606" s="148"/>
      <c r="W606" s="148"/>
      <c r="X606" s="148"/>
      <c r="Y606" s="148"/>
      <c r="Z606" s="148"/>
      <c r="AA606" s="148"/>
      <c r="AB606" s="148"/>
      <c r="AC606" s="148"/>
      <c r="AD606" s="148"/>
      <c r="AE606" s="148"/>
      <c r="AF606" s="148"/>
      <c r="AG606" s="148"/>
      <c r="AH606" s="148"/>
      <c r="AI606" s="148"/>
      <c r="AJ606" s="148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</row>
    <row r="607" spans="1:55" x14ac:dyDescent="0.2">
      <c r="A607" s="148"/>
      <c r="B607" s="148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8"/>
      <c r="V607" s="148"/>
      <c r="W607" s="148"/>
      <c r="X607" s="148"/>
      <c r="Y607" s="148"/>
      <c r="Z607" s="148"/>
      <c r="AA607" s="148"/>
      <c r="AB607" s="148"/>
      <c r="AC607" s="148"/>
      <c r="AD607" s="148"/>
      <c r="AE607" s="148"/>
      <c r="AF607" s="148"/>
      <c r="AG607" s="148"/>
      <c r="AH607" s="148"/>
      <c r="AI607" s="148"/>
      <c r="AJ607" s="148"/>
      <c r="AK607" s="148"/>
      <c r="AL607" s="148"/>
      <c r="AM607" s="148"/>
      <c r="AN607" s="148"/>
      <c r="AO607" s="148"/>
      <c r="AP607" s="148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</row>
    <row r="608" spans="1:55" x14ac:dyDescent="0.2">
      <c r="A608" s="148"/>
      <c r="B608" s="148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8"/>
      <c r="V608" s="148"/>
      <c r="W608" s="148"/>
      <c r="X608" s="148"/>
      <c r="Y608" s="148"/>
      <c r="Z608" s="148"/>
      <c r="AA608" s="148"/>
      <c r="AB608" s="148"/>
      <c r="AC608" s="148"/>
      <c r="AD608" s="148"/>
      <c r="AE608" s="148"/>
      <c r="AF608" s="148"/>
      <c r="AG608" s="148"/>
      <c r="AH608" s="148"/>
      <c r="AI608" s="148"/>
      <c r="AJ608" s="148"/>
      <c r="AK608" s="148"/>
      <c r="AL608" s="148"/>
      <c r="AM608" s="148"/>
      <c r="AN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</row>
    <row r="609" spans="1:55" x14ac:dyDescent="0.2">
      <c r="A609" s="148"/>
      <c r="B609" s="148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8"/>
      <c r="V609" s="148"/>
      <c r="W609" s="148"/>
      <c r="X609" s="148"/>
      <c r="Y609" s="148"/>
      <c r="Z609" s="148"/>
      <c r="AA609" s="148"/>
      <c r="AB609" s="148"/>
      <c r="AC609" s="148"/>
      <c r="AD609" s="148"/>
      <c r="AE609" s="148"/>
      <c r="AF609" s="148"/>
      <c r="AG609" s="148"/>
      <c r="AH609" s="148"/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</row>
    <row r="610" spans="1:55" x14ac:dyDescent="0.2">
      <c r="A610" s="148"/>
      <c r="B610" s="148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8"/>
      <c r="V610" s="148"/>
      <c r="W610" s="148"/>
      <c r="X610" s="148"/>
      <c r="Y610" s="148"/>
      <c r="Z610" s="148"/>
      <c r="AA610" s="148"/>
      <c r="AB610" s="148"/>
      <c r="AC610" s="148"/>
      <c r="AD610" s="148"/>
      <c r="AE610" s="148"/>
      <c r="AF610" s="148"/>
      <c r="AG610" s="148"/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</row>
    <row r="611" spans="1:55" x14ac:dyDescent="0.2">
      <c r="A611" s="148"/>
      <c r="B611" s="148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8"/>
      <c r="V611" s="148"/>
      <c r="W611" s="148"/>
      <c r="X611" s="148"/>
      <c r="Y611" s="148"/>
      <c r="Z611" s="148"/>
      <c r="AA611" s="148"/>
      <c r="AB611" s="148"/>
      <c r="AC611" s="148"/>
      <c r="AD611" s="148"/>
      <c r="AE611" s="148"/>
      <c r="AF611" s="148"/>
      <c r="AG611" s="148"/>
      <c r="AH611" s="148"/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</row>
    <row r="612" spans="1:55" x14ac:dyDescent="0.2">
      <c r="A612" s="148"/>
      <c r="B612" s="148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8"/>
      <c r="V612" s="148"/>
      <c r="W612" s="148"/>
      <c r="X612" s="148"/>
      <c r="Y612" s="148"/>
      <c r="Z612" s="148"/>
      <c r="AA612" s="148"/>
      <c r="AB612" s="148"/>
      <c r="AC612" s="148"/>
      <c r="AD612" s="148"/>
      <c r="AE612" s="148"/>
      <c r="AF612" s="148"/>
      <c r="AG612" s="148"/>
      <c r="AH612" s="148"/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</row>
    <row r="613" spans="1:55" x14ac:dyDescent="0.2">
      <c r="A613" s="148"/>
      <c r="B613" s="148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8"/>
      <c r="V613" s="148"/>
      <c r="W613" s="148"/>
      <c r="X613" s="148"/>
      <c r="Y613" s="148"/>
      <c r="Z613" s="148"/>
      <c r="AA613" s="148"/>
      <c r="AB613" s="148"/>
      <c r="AC613" s="148"/>
      <c r="AD613" s="148"/>
      <c r="AE613" s="148"/>
      <c r="AF613" s="148"/>
      <c r="AG613" s="148"/>
      <c r="AH613" s="148"/>
      <c r="AI613" s="148"/>
      <c r="AJ613" s="148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</row>
    <row r="614" spans="1:55" x14ac:dyDescent="0.2">
      <c r="A614" s="148"/>
      <c r="B614" s="148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8"/>
      <c r="V614" s="148"/>
      <c r="W614" s="148"/>
      <c r="X614" s="148"/>
      <c r="Y614" s="148"/>
      <c r="Z614" s="148"/>
      <c r="AA614" s="148"/>
      <c r="AB614" s="148"/>
      <c r="AC614" s="148"/>
      <c r="AD614" s="148"/>
      <c r="AE614" s="148"/>
      <c r="AF614" s="148"/>
      <c r="AG614" s="148"/>
      <c r="AH614" s="148"/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</row>
    <row r="615" spans="1:55" x14ac:dyDescent="0.2">
      <c r="A615" s="148"/>
      <c r="B615" s="148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8"/>
      <c r="V615" s="148"/>
      <c r="W615" s="148"/>
      <c r="X615" s="148"/>
      <c r="Y615" s="148"/>
      <c r="Z615" s="148"/>
      <c r="AA615" s="148"/>
      <c r="AB615" s="148"/>
      <c r="AC615" s="148"/>
      <c r="AD615" s="148"/>
      <c r="AE615" s="148"/>
      <c r="AF615" s="148"/>
      <c r="AG615" s="148"/>
      <c r="AH615" s="148"/>
      <c r="AI615" s="148"/>
      <c r="AJ615" s="148"/>
      <c r="AK615" s="148"/>
      <c r="AL615" s="148"/>
      <c r="AM615" s="148"/>
      <c r="AN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</row>
    <row r="616" spans="1:55" x14ac:dyDescent="0.2">
      <c r="A616" s="148"/>
      <c r="B616" s="148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8"/>
      <c r="V616" s="148"/>
      <c r="W616" s="148"/>
      <c r="X616" s="148"/>
      <c r="Y616" s="148"/>
      <c r="Z616" s="148"/>
      <c r="AA616" s="148"/>
      <c r="AB616" s="148"/>
      <c r="AC616" s="148"/>
      <c r="AD616" s="148"/>
      <c r="AE616" s="148"/>
      <c r="AF616" s="148"/>
      <c r="AG616" s="148"/>
      <c r="AH616" s="148"/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</row>
    <row r="617" spans="1:55" x14ac:dyDescent="0.2">
      <c r="A617" s="148"/>
      <c r="B617" s="148"/>
      <c r="C617" s="148"/>
      <c r="D617" s="148"/>
      <c r="E617" s="148"/>
      <c r="F617" s="148"/>
      <c r="G617" s="148"/>
      <c r="H617" s="148"/>
      <c r="I617" s="148"/>
      <c r="J617" s="148"/>
      <c r="K617" s="148"/>
      <c r="L617" s="148"/>
      <c r="M617" s="148"/>
      <c r="N617" s="148"/>
      <c r="O617" s="148"/>
      <c r="P617" s="148"/>
      <c r="Q617" s="148"/>
      <c r="R617" s="148"/>
      <c r="S617" s="148"/>
      <c r="T617" s="148"/>
      <c r="U617" s="148"/>
      <c r="V617" s="148"/>
      <c r="W617" s="148"/>
      <c r="X617" s="148"/>
      <c r="Y617" s="148"/>
      <c r="Z617" s="148"/>
      <c r="AA617" s="148"/>
      <c r="AB617" s="148"/>
      <c r="AC617" s="148"/>
      <c r="AD617" s="148"/>
      <c r="AE617" s="148"/>
      <c r="AF617" s="148"/>
      <c r="AG617" s="148"/>
      <c r="AH617" s="148"/>
      <c r="AI617" s="148"/>
      <c r="AJ617" s="148"/>
      <c r="AK617" s="148"/>
      <c r="AL617" s="148"/>
      <c r="AM617" s="148"/>
      <c r="AN617" s="148"/>
      <c r="AO617" s="148"/>
      <c r="AP617" s="148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</row>
    <row r="618" spans="1:55" x14ac:dyDescent="0.2">
      <c r="A618" s="148"/>
      <c r="B618" s="148"/>
      <c r="C618" s="148"/>
      <c r="D618" s="148"/>
      <c r="E618" s="148"/>
      <c r="F618" s="148"/>
      <c r="G618" s="148"/>
      <c r="H618" s="148"/>
      <c r="I618" s="148"/>
      <c r="J618" s="148"/>
      <c r="K618" s="148"/>
      <c r="L618" s="148"/>
      <c r="M618" s="148"/>
      <c r="N618" s="148"/>
      <c r="O618" s="148"/>
      <c r="P618" s="148"/>
      <c r="Q618" s="148"/>
      <c r="R618" s="148"/>
      <c r="S618" s="148"/>
      <c r="T618" s="148"/>
      <c r="U618" s="148"/>
      <c r="V618" s="148"/>
      <c r="W618" s="148"/>
      <c r="X618" s="148"/>
      <c r="Y618" s="148"/>
      <c r="Z618" s="148"/>
      <c r="AA618" s="148"/>
      <c r="AB618" s="148"/>
      <c r="AC618" s="148"/>
      <c r="AD618" s="148"/>
      <c r="AE618" s="148"/>
      <c r="AF618" s="148"/>
      <c r="AG618" s="148"/>
      <c r="AH618" s="148"/>
      <c r="AI618" s="148"/>
      <c r="AJ618" s="148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</row>
    <row r="619" spans="1:55" x14ac:dyDescent="0.2">
      <c r="A619" s="148"/>
      <c r="B619" s="148"/>
      <c r="C619" s="148"/>
      <c r="D619" s="148"/>
      <c r="E619" s="148"/>
      <c r="F619" s="148"/>
      <c r="G619" s="148"/>
      <c r="H619" s="148"/>
      <c r="I619" s="148"/>
      <c r="J619" s="148"/>
      <c r="K619" s="148"/>
      <c r="L619" s="148"/>
      <c r="M619" s="148"/>
      <c r="N619" s="148"/>
      <c r="O619" s="148"/>
      <c r="P619" s="148"/>
      <c r="Q619" s="148"/>
      <c r="R619" s="148"/>
      <c r="S619" s="148"/>
      <c r="T619" s="148"/>
      <c r="U619" s="148"/>
      <c r="V619" s="148"/>
      <c r="W619" s="148"/>
      <c r="X619" s="148"/>
      <c r="Y619" s="148"/>
      <c r="Z619" s="148"/>
      <c r="AA619" s="148"/>
      <c r="AB619" s="148"/>
      <c r="AC619" s="148"/>
      <c r="AD619" s="148"/>
      <c r="AE619" s="148"/>
      <c r="AF619" s="148"/>
      <c r="AG619" s="148"/>
      <c r="AH619" s="148"/>
      <c r="AI619" s="148"/>
      <c r="AJ619" s="148"/>
      <c r="AK619" s="148"/>
      <c r="AL619" s="148"/>
      <c r="AM619" s="148"/>
      <c r="AN619" s="148"/>
      <c r="AO619" s="148"/>
      <c r="AP619" s="148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48"/>
      <c r="BC619" s="148"/>
    </row>
    <row r="620" spans="1:55" x14ac:dyDescent="0.2">
      <c r="A620" s="148"/>
      <c r="B620" s="148"/>
      <c r="C620" s="148"/>
      <c r="D620" s="148"/>
      <c r="E620" s="148"/>
      <c r="F620" s="148"/>
      <c r="G620" s="148"/>
      <c r="H620" s="148"/>
      <c r="I620" s="148"/>
      <c r="J620" s="148"/>
      <c r="K620" s="148"/>
      <c r="L620" s="148"/>
      <c r="M620" s="148"/>
      <c r="N620" s="148"/>
      <c r="O620" s="148"/>
      <c r="P620" s="148"/>
      <c r="Q620" s="148"/>
      <c r="R620" s="148"/>
      <c r="S620" s="148"/>
      <c r="T620" s="148"/>
      <c r="U620" s="148"/>
      <c r="V620" s="148"/>
      <c r="W620" s="148"/>
      <c r="X620" s="148"/>
      <c r="Y620" s="148"/>
      <c r="Z620" s="148"/>
      <c r="AA620" s="148"/>
      <c r="AB620" s="148"/>
      <c r="AC620" s="148"/>
      <c r="AD620" s="148"/>
      <c r="AE620" s="148"/>
      <c r="AF620" s="148"/>
      <c r="AG620" s="148"/>
      <c r="AH620" s="148"/>
      <c r="AI620" s="148"/>
      <c r="AJ620" s="148"/>
      <c r="AK620" s="148"/>
      <c r="AL620" s="148"/>
      <c r="AM620" s="148"/>
      <c r="AN620" s="148"/>
      <c r="AO620" s="148"/>
      <c r="AP620" s="148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</row>
    <row r="621" spans="1:55" x14ac:dyDescent="0.2">
      <c r="A621" s="148"/>
      <c r="B621" s="148"/>
      <c r="C621" s="148"/>
      <c r="D621" s="148"/>
      <c r="E621" s="148"/>
      <c r="F621" s="148"/>
      <c r="G621" s="148"/>
      <c r="H621" s="148"/>
      <c r="I621" s="148"/>
      <c r="J621" s="148"/>
      <c r="K621" s="148"/>
      <c r="L621" s="148"/>
      <c r="M621" s="148"/>
      <c r="N621" s="148"/>
      <c r="O621" s="148"/>
      <c r="P621" s="148"/>
      <c r="Q621" s="148"/>
      <c r="R621" s="148"/>
      <c r="S621" s="148"/>
      <c r="T621" s="148"/>
      <c r="U621" s="148"/>
      <c r="V621" s="148"/>
      <c r="W621" s="148"/>
      <c r="X621" s="148"/>
      <c r="Y621" s="148"/>
      <c r="Z621" s="148"/>
      <c r="AA621" s="148"/>
      <c r="AB621" s="148"/>
      <c r="AC621" s="148"/>
      <c r="AD621" s="148"/>
      <c r="AE621" s="148"/>
      <c r="AF621" s="148"/>
      <c r="AG621" s="148"/>
      <c r="AH621" s="148"/>
      <c r="AI621" s="148"/>
      <c r="AJ621" s="148"/>
      <c r="AK621" s="148"/>
      <c r="AL621" s="148"/>
      <c r="AM621" s="148"/>
      <c r="AN621" s="148"/>
      <c r="AO621" s="148"/>
      <c r="AP621" s="148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48"/>
      <c r="BC621" s="148"/>
    </row>
    <row r="622" spans="1:55" x14ac:dyDescent="0.2">
      <c r="A622" s="148"/>
      <c r="B622" s="148"/>
      <c r="C622" s="148"/>
      <c r="D622" s="148"/>
      <c r="E622" s="148"/>
      <c r="F622" s="148"/>
      <c r="G622" s="148"/>
      <c r="H622" s="148"/>
      <c r="I622" s="148"/>
      <c r="J622" s="148"/>
      <c r="K622" s="148"/>
      <c r="L622" s="148"/>
      <c r="M622" s="148"/>
      <c r="N622" s="148"/>
      <c r="O622" s="148"/>
      <c r="P622" s="148"/>
      <c r="Q622" s="148"/>
      <c r="R622" s="148"/>
      <c r="S622" s="148"/>
      <c r="T622" s="148"/>
      <c r="U622" s="148"/>
      <c r="V622" s="148"/>
      <c r="W622" s="148"/>
      <c r="X622" s="148"/>
      <c r="Y622" s="148"/>
      <c r="Z622" s="148"/>
      <c r="AA622" s="148"/>
      <c r="AB622" s="148"/>
      <c r="AC622" s="148"/>
      <c r="AD622" s="148"/>
      <c r="AE622" s="148"/>
      <c r="AF622" s="148"/>
      <c r="AG622" s="148"/>
      <c r="AH622" s="148"/>
      <c r="AI622" s="148"/>
      <c r="AJ622" s="148"/>
      <c r="AK622" s="148"/>
      <c r="AL622" s="148"/>
      <c r="AM622" s="148"/>
      <c r="AN622" s="148"/>
      <c r="AO622" s="148"/>
      <c r="AP622" s="148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48"/>
      <c r="BC622" s="148"/>
    </row>
    <row r="623" spans="1:55" x14ac:dyDescent="0.2">
      <c r="A623" s="148"/>
      <c r="B623" s="148"/>
      <c r="C623" s="148"/>
      <c r="D623" s="148"/>
      <c r="E623" s="148"/>
      <c r="F623" s="148"/>
      <c r="G623" s="148"/>
      <c r="H623" s="148"/>
      <c r="I623" s="148"/>
      <c r="J623" s="148"/>
      <c r="K623" s="148"/>
      <c r="L623" s="148"/>
      <c r="M623" s="148"/>
      <c r="N623" s="148"/>
      <c r="O623" s="148"/>
      <c r="P623" s="148"/>
      <c r="Q623" s="148"/>
      <c r="R623" s="148"/>
      <c r="S623" s="148"/>
      <c r="T623" s="148"/>
      <c r="U623" s="148"/>
      <c r="V623" s="148"/>
      <c r="W623" s="148"/>
      <c r="X623" s="148"/>
      <c r="Y623" s="148"/>
      <c r="Z623" s="148"/>
      <c r="AA623" s="148"/>
      <c r="AB623" s="148"/>
      <c r="AC623" s="148"/>
      <c r="AD623" s="148"/>
      <c r="AE623" s="148"/>
      <c r="AF623" s="148"/>
      <c r="AG623" s="148"/>
      <c r="AH623" s="148"/>
      <c r="AI623" s="148"/>
      <c r="AJ623" s="148"/>
      <c r="AK623" s="148"/>
      <c r="AL623" s="148"/>
      <c r="AM623" s="148"/>
      <c r="AN623" s="148"/>
      <c r="AO623" s="148"/>
      <c r="AP623" s="148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</row>
    <row r="624" spans="1:55" x14ac:dyDescent="0.2">
      <c r="A624" s="148"/>
      <c r="B624" s="148"/>
      <c r="C624" s="148"/>
      <c r="D624" s="148"/>
      <c r="E624" s="148"/>
      <c r="F624" s="148"/>
      <c r="G624" s="148"/>
      <c r="H624" s="148"/>
      <c r="I624" s="148"/>
      <c r="J624" s="148"/>
      <c r="K624" s="148"/>
      <c r="L624" s="148"/>
      <c r="M624" s="148"/>
      <c r="N624" s="148"/>
      <c r="O624" s="148"/>
      <c r="P624" s="148"/>
      <c r="Q624" s="148"/>
      <c r="R624" s="148"/>
      <c r="S624" s="148"/>
      <c r="T624" s="148"/>
      <c r="U624" s="148"/>
      <c r="V624" s="148"/>
      <c r="W624" s="148"/>
      <c r="X624" s="148"/>
      <c r="Y624" s="148"/>
      <c r="Z624" s="148"/>
      <c r="AA624" s="148"/>
      <c r="AB624" s="148"/>
      <c r="AC624" s="148"/>
      <c r="AD624" s="148"/>
      <c r="AE624" s="148"/>
      <c r="AF624" s="148"/>
      <c r="AG624" s="148"/>
      <c r="AH624" s="148"/>
      <c r="AI624" s="148"/>
      <c r="AJ624" s="148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</row>
    <row r="625" spans="1:55" x14ac:dyDescent="0.2">
      <c r="A625" s="148"/>
      <c r="B625" s="148"/>
      <c r="C625" s="148"/>
      <c r="D625" s="148"/>
      <c r="E625" s="148"/>
      <c r="F625" s="148"/>
      <c r="G625" s="148"/>
      <c r="H625" s="148"/>
      <c r="I625" s="148"/>
      <c r="J625" s="148"/>
      <c r="K625" s="148"/>
      <c r="L625" s="148"/>
      <c r="M625" s="148"/>
      <c r="N625" s="148"/>
      <c r="O625" s="148"/>
      <c r="P625" s="148"/>
      <c r="Q625" s="148"/>
      <c r="R625" s="148"/>
      <c r="S625" s="148"/>
      <c r="T625" s="148"/>
      <c r="U625" s="148"/>
      <c r="V625" s="148"/>
      <c r="W625" s="148"/>
      <c r="X625" s="148"/>
      <c r="Y625" s="148"/>
      <c r="Z625" s="148"/>
      <c r="AA625" s="148"/>
      <c r="AB625" s="148"/>
      <c r="AC625" s="148"/>
      <c r="AD625" s="148"/>
      <c r="AE625" s="148"/>
      <c r="AF625" s="148"/>
      <c r="AG625" s="148"/>
      <c r="AH625" s="148"/>
      <c r="AI625" s="148"/>
      <c r="AJ625" s="148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</row>
    <row r="626" spans="1:55" x14ac:dyDescent="0.2">
      <c r="A626" s="148"/>
      <c r="B626" s="148"/>
      <c r="C626" s="148"/>
      <c r="D626" s="148"/>
      <c r="E626" s="148"/>
      <c r="F626" s="148"/>
      <c r="G626" s="148"/>
      <c r="H626" s="148"/>
      <c r="I626" s="148"/>
      <c r="J626" s="148"/>
      <c r="K626" s="148"/>
      <c r="L626" s="148"/>
      <c r="M626" s="148"/>
      <c r="N626" s="148"/>
      <c r="O626" s="148"/>
      <c r="P626" s="148"/>
      <c r="Q626" s="148"/>
      <c r="R626" s="148"/>
      <c r="S626" s="148"/>
      <c r="T626" s="148"/>
      <c r="U626" s="148"/>
      <c r="V626" s="148"/>
      <c r="W626" s="148"/>
      <c r="X626" s="148"/>
      <c r="Y626" s="148"/>
      <c r="Z626" s="148"/>
      <c r="AA626" s="148"/>
      <c r="AB626" s="148"/>
      <c r="AC626" s="148"/>
      <c r="AD626" s="148"/>
      <c r="AE626" s="148"/>
      <c r="AF626" s="148"/>
      <c r="AG626" s="148"/>
      <c r="AH626" s="148"/>
      <c r="AI626" s="148"/>
      <c r="AJ626" s="148"/>
      <c r="AK626" s="148"/>
      <c r="AL626" s="148"/>
      <c r="AM626" s="148"/>
      <c r="AN626" s="148"/>
      <c r="AO626" s="148"/>
      <c r="AP626" s="148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</row>
    <row r="627" spans="1:55" x14ac:dyDescent="0.2">
      <c r="A627" s="148"/>
      <c r="B627" s="148"/>
      <c r="C627" s="148"/>
      <c r="D627" s="148"/>
      <c r="E627" s="148"/>
      <c r="F627" s="148"/>
      <c r="G627" s="148"/>
      <c r="H627" s="148"/>
      <c r="I627" s="148"/>
      <c r="J627" s="148"/>
      <c r="K627" s="148"/>
      <c r="L627" s="148"/>
      <c r="M627" s="148"/>
      <c r="N627" s="148"/>
      <c r="O627" s="148"/>
      <c r="P627" s="148"/>
      <c r="Q627" s="148"/>
      <c r="R627" s="148"/>
      <c r="S627" s="148"/>
      <c r="T627" s="148"/>
      <c r="U627" s="148"/>
      <c r="V627" s="148"/>
      <c r="W627" s="148"/>
      <c r="X627" s="148"/>
      <c r="Y627" s="148"/>
      <c r="Z627" s="148"/>
      <c r="AA627" s="148"/>
      <c r="AB627" s="148"/>
      <c r="AC627" s="148"/>
      <c r="AD627" s="148"/>
      <c r="AE627" s="148"/>
      <c r="AF627" s="148"/>
      <c r="AG627" s="148"/>
      <c r="AH627" s="148"/>
      <c r="AI627" s="148"/>
      <c r="AJ627" s="148"/>
      <c r="AK627" s="148"/>
      <c r="AL627" s="148"/>
      <c r="AM627" s="148"/>
      <c r="AN627" s="148"/>
      <c r="AO627" s="148"/>
      <c r="AP627" s="148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</row>
    <row r="628" spans="1:55" x14ac:dyDescent="0.2">
      <c r="A628" s="148"/>
      <c r="B628" s="148"/>
      <c r="C628" s="148"/>
      <c r="D628" s="148"/>
      <c r="E628" s="148"/>
      <c r="F628" s="148"/>
      <c r="G628" s="148"/>
      <c r="H628" s="148"/>
      <c r="I628" s="148"/>
      <c r="J628" s="148"/>
      <c r="K628" s="148"/>
      <c r="L628" s="148"/>
      <c r="M628" s="148"/>
      <c r="N628" s="148"/>
      <c r="O628" s="148"/>
      <c r="P628" s="148"/>
      <c r="Q628" s="148"/>
      <c r="R628" s="148"/>
      <c r="S628" s="148"/>
      <c r="T628" s="148"/>
      <c r="U628" s="148"/>
      <c r="V628" s="148"/>
      <c r="W628" s="148"/>
      <c r="X628" s="148"/>
      <c r="Y628" s="148"/>
      <c r="Z628" s="148"/>
      <c r="AA628" s="148"/>
      <c r="AB628" s="148"/>
      <c r="AC628" s="148"/>
      <c r="AD628" s="148"/>
      <c r="AE628" s="148"/>
      <c r="AF628" s="148"/>
      <c r="AG628" s="148"/>
      <c r="AH628" s="148"/>
      <c r="AI628" s="148"/>
      <c r="AJ628" s="148"/>
      <c r="AK628" s="148"/>
      <c r="AL628" s="148"/>
      <c r="AM628" s="148"/>
      <c r="AN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</row>
    <row r="629" spans="1:55" x14ac:dyDescent="0.2">
      <c r="A629" s="148"/>
      <c r="B629" s="148"/>
      <c r="C629" s="148"/>
      <c r="D629" s="148"/>
      <c r="E629" s="148"/>
      <c r="F629" s="148"/>
      <c r="G629" s="148"/>
      <c r="H629" s="148"/>
      <c r="I629" s="148"/>
      <c r="J629" s="148"/>
      <c r="K629" s="148"/>
      <c r="L629" s="148"/>
      <c r="M629" s="148"/>
      <c r="N629" s="148"/>
      <c r="O629" s="148"/>
      <c r="P629" s="148"/>
      <c r="Q629" s="148"/>
      <c r="R629" s="148"/>
      <c r="S629" s="148"/>
      <c r="T629" s="148"/>
      <c r="U629" s="148"/>
      <c r="V629" s="148"/>
      <c r="W629" s="148"/>
      <c r="X629" s="148"/>
      <c r="Y629" s="148"/>
      <c r="Z629" s="148"/>
      <c r="AA629" s="148"/>
      <c r="AB629" s="148"/>
      <c r="AC629" s="148"/>
      <c r="AD629" s="148"/>
      <c r="AE629" s="148"/>
      <c r="AF629" s="148"/>
      <c r="AG629" s="148"/>
      <c r="AH629" s="148"/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</row>
    <row r="630" spans="1:55" x14ac:dyDescent="0.2">
      <c r="A630" s="148"/>
      <c r="B630" s="148"/>
      <c r="C630" s="148"/>
      <c r="D630" s="148"/>
      <c r="E630" s="148"/>
      <c r="F630" s="148"/>
      <c r="G630" s="148"/>
      <c r="H630" s="148"/>
      <c r="I630" s="148"/>
      <c r="J630" s="148"/>
      <c r="K630" s="148"/>
      <c r="L630" s="148"/>
      <c r="M630" s="148"/>
      <c r="N630" s="148"/>
      <c r="O630" s="148"/>
      <c r="P630" s="148"/>
      <c r="Q630" s="148"/>
      <c r="R630" s="148"/>
      <c r="S630" s="148"/>
      <c r="T630" s="148"/>
      <c r="U630" s="148"/>
      <c r="V630" s="148"/>
      <c r="W630" s="148"/>
      <c r="X630" s="148"/>
      <c r="Y630" s="148"/>
      <c r="Z630" s="148"/>
      <c r="AA630" s="148"/>
      <c r="AB630" s="148"/>
      <c r="AC630" s="148"/>
      <c r="AD630" s="148"/>
      <c r="AE630" s="148"/>
      <c r="AF630" s="148"/>
      <c r="AG630" s="148"/>
      <c r="AH630" s="148"/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</row>
    <row r="631" spans="1:55" x14ac:dyDescent="0.2">
      <c r="A631" s="148"/>
      <c r="B631" s="148"/>
      <c r="C631" s="148"/>
      <c r="D631" s="148"/>
      <c r="E631" s="148"/>
      <c r="F631" s="148"/>
      <c r="G631" s="148"/>
      <c r="H631" s="148"/>
      <c r="I631" s="148"/>
      <c r="J631" s="148"/>
      <c r="K631" s="148"/>
      <c r="L631" s="148"/>
      <c r="M631" s="148"/>
      <c r="N631" s="148"/>
      <c r="O631" s="148"/>
      <c r="P631" s="148"/>
      <c r="Q631" s="148"/>
      <c r="R631" s="148"/>
      <c r="S631" s="148"/>
      <c r="T631" s="148"/>
      <c r="U631" s="148"/>
      <c r="V631" s="148"/>
      <c r="W631" s="148"/>
      <c r="X631" s="148"/>
      <c r="Y631" s="148"/>
      <c r="Z631" s="148"/>
      <c r="AA631" s="148"/>
      <c r="AB631" s="148"/>
      <c r="AC631" s="148"/>
      <c r="AD631" s="148"/>
      <c r="AE631" s="148"/>
      <c r="AF631" s="148"/>
      <c r="AG631" s="148"/>
      <c r="AH631" s="148"/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</row>
    <row r="632" spans="1:55" x14ac:dyDescent="0.2">
      <c r="A632" s="148"/>
      <c r="B632" s="148"/>
      <c r="C632" s="148"/>
      <c r="D632" s="148"/>
      <c r="E632" s="148"/>
      <c r="F632" s="148"/>
      <c r="G632" s="148"/>
      <c r="H632" s="148"/>
      <c r="I632" s="148"/>
      <c r="J632" s="148"/>
      <c r="K632" s="148"/>
      <c r="L632" s="148"/>
      <c r="M632" s="148"/>
      <c r="N632" s="148"/>
      <c r="O632" s="148"/>
      <c r="P632" s="148"/>
      <c r="Q632" s="148"/>
      <c r="R632" s="148"/>
      <c r="S632" s="148"/>
      <c r="T632" s="148"/>
      <c r="U632" s="148"/>
      <c r="V632" s="148"/>
      <c r="W632" s="148"/>
      <c r="X632" s="148"/>
      <c r="Y632" s="148"/>
      <c r="Z632" s="148"/>
      <c r="AA632" s="148"/>
      <c r="AB632" s="148"/>
      <c r="AC632" s="148"/>
      <c r="AD632" s="148"/>
      <c r="AE632" s="148"/>
      <c r="AF632" s="148"/>
      <c r="AG632" s="148"/>
      <c r="AH632" s="148"/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</row>
    <row r="633" spans="1:55" x14ac:dyDescent="0.2">
      <c r="A633" s="148"/>
      <c r="B633" s="148"/>
      <c r="C633" s="148"/>
      <c r="D633" s="148"/>
      <c r="E633" s="148"/>
      <c r="F633" s="148"/>
      <c r="G633" s="148"/>
      <c r="H633" s="148"/>
      <c r="I633" s="148"/>
      <c r="J633" s="148"/>
      <c r="K633" s="148"/>
      <c r="L633" s="148"/>
      <c r="M633" s="148"/>
      <c r="N633" s="148"/>
      <c r="O633" s="148"/>
      <c r="P633" s="148"/>
      <c r="Q633" s="148"/>
      <c r="R633" s="148"/>
      <c r="S633" s="148"/>
      <c r="T633" s="148"/>
      <c r="U633" s="148"/>
      <c r="V633" s="148"/>
      <c r="W633" s="148"/>
      <c r="X633" s="148"/>
      <c r="Y633" s="148"/>
      <c r="Z633" s="148"/>
      <c r="AA633" s="148"/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</row>
    <row r="634" spans="1:55" x14ac:dyDescent="0.2">
      <c r="A634" s="148"/>
      <c r="B634" s="148"/>
      <c r="C634" s="148"/>
      <c r="D634" s="148"/>
      <c r="E634" s="148"/>
      <c r="F634" s="148"/>
      <c r="G634" s="148"/>
      <c r="H634" s="148"/>
      <c r="I634" s="148"/>
      <c r="J634" s="148"/>
      <c r="K634" s="148"/>
      <c r="L634" s="148"/>
      <c r="M634" s="148"/>
      <c r="N634" s="148"/>
      <c r="O634" s="148"/>
      <c r="P634" s="148"/>
      <c r="Q634" s="148"/>
      <c r="R634" s="148"/>
      <c r="S634" s="148"/>
      <c r="T634" s="148"/>
      <c r="U634" s="148"/>
      <c r="V634" s="148"/>
      <c r="W634" s="148"/>
      <c r="X634" s="148"/>
      <c r="Y634" s="148"/>
      <c r="Z634" s="148"/>
      <c r="AA634" s="148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</row>
    <row r="635" spans="1:55" x14ac:dyDescent="0.2">
      <c r="A635" s="148"/>
      <c r="B635" s="148"/>
      <c r="C635" s="148"/>
      <c r="D635" s="148"/>
      <c r="E635" s="148"/>
      <c r="F635" s="148"/>
      <c r="G635" s="148"/>
      <c r="H635" s="148"/>
      <c r="I635" s="148"/>
      <c r="J635" s="148"/>
      <c r="K635" s="148"/>
      <c r="L635" s="148"/>
      <c r="M635" s="148"/>
      <c r="N635" s="148"/>
      <c r="O635" s="148"/>
      <c r="P635" s="148"/>
      <c r="Q635" s="148"/>
      <c r="R635" s="148"/>
      <c r="S635" s="148"/>
      <c r="T635" s="148"/>
      <c r="U635" s="148"/>
      <c r="V635" s="148"/>
      <c r="W635" s="148"/>
      <c r="X635" s="148"/>
      <c r="Y635" s="148"/>
      <c r="Z635" s="148"/>
      <c r="AA635" s="148"/>
      <c r="AB635" s="148"/>
      <c r="AC635" s="148"/>
      <c r="AD635" s="148"/>
      <c r="AE635" s="148"/>
      <c r="AF635" s="148"/>
      <c r="AG635" s="148"/>
      <c r="AH635" s="148"/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</row>
    <row r="636" spans="1:55" x14ac:dyDescent="0.2">
      <c r="A636" s="148"/>
      <c r="B636" s="148"/>
      <c r="C636" s="148"/>
      <c r="D636" s="148"/>
      <c r="E636" s="148"/>
      <c r="F636" s="148"/>
      <c r="G636" s="148"/>
      <c r="H636" s="148"/>
      <c r="I636" s="148"/>
      <c r="J636" s="148"/>
      <c r="K636" s="148"/>
      <c r="L636" s="148"/>
      <c r="M636" s="148"/>
      <c r="N636" s="148"/>
      <c r="O636" s="148"/>
      <c r="P636" s="148"/>
      <c r="Q636" s="148"/>
      <c r="R636" s="148"/>
      <c r="S636" s="148"/>
      <c r="T636" s="148"/>
      <c r="U636" s="148"/>
      <c r="V636" s="148"/>
      <c r="W636" s="148"/>
      <c r="X636" s="148"/>
      <c r="Y636" s="148"/>
      <c r="Z636" s="148"/>
      <c r="AA636" s="148"/>
      <c r="AB636" s="148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</row>
    <row r="637" spans="1:55" x14ac:dyDescent="0.2">
      <c r="A637" s="148"/>
      <c r="B637" s="148"/>
      <c r="C637" s="148"/>
      <c r="D637" s="148"/>
      <c r="E637" s="148"/>
      <c r="F637" s="148"/>
      <c r="G637" s="148"/>
      <c r="H637" s="148"/>
      <c r="I637" s="148"/>
      <c r="J637" s="148"/>
      <c r="K637" s="148"/>
      <c r="L637" s="148"/>
      <c r="M637" s="148"/>
      <c r="N637" s="148"/>
      <c r="O637" s="148"/>
      <c r="P637" s="148"/>
      <c r="Q637" s="148"/>
      <c r="R637" s="148"/>
      <c r="S637" s="148"/>
      <c r="T637" s="148"/>
      <c r="U637" s="148"/>
      <c r="V637" s="148"/>
      <c r="W637" s="148"/>
      <c r="X637" s="148"/>
      <c r="Y637" s="148"/>
      <c r="Z637" s="148"/>
      <c r="AA637" s="148"/>
      <c r="AB637" s="148"/>
      <c r="AC637" s="148"/>
      <c r="AD637" s="148"/>
      <c r="AE637" s="148"/>
      <c r="AF637" s="148"/>
      <c r="AG637" s="148"/>
      <c r="AH637" s="148"/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</row>
    <row r="638" spans="1:55" x14ac:dyDescent="0.2">
      <c r="A638" s="148"/>
      <c r="B638" s="148"/>
      <c r="C638" s="148"/>
      <c r="D638" s="148"/>
      <c r="E638" s="148"/>
      <c r="F638" s="148"/>
      <c r="G638" s="148"/>
      <c r="H638" s="148"/>
      <c r="I638" s="148"/>
      <c r="J638" s="148"/>
      <c r="K638" s="148"/>
      <c r="L638" s="148"/>
      <c r="M638" s="148"/>
      <c r="N638" s="148"/>
      <c r="O638" s="148"/>
      <c r="P638" s="148"/>
      <c r="Q638" s="148"/>
      <c r="R638" s="148"/>
      <c r="S638" s="148"/>
      <c r="T638" s="148"/>
      <c r="U638" s="148"/>
      <c r="V638" s="148"/>
      <c r="W638" s="148"/>
      <c r="X638" s="148"/>
      <c r="Y638" s="148"/>
      <c r="Z638" s="148"/>
      <c r="AA638" s="148"/>
      <c r="AB638" s="148"/>
      <c r="AC638" s="148"/>
      <c r="AD638" s="148"/>
      <c r="AE638" s="148"/>
      <c r="AF638" s="148"/>
      <c r="AG638" s="148"/>
      <c r="AH638" s="148"/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</row>
    <row r="639" spans="1:55" x14ac:dyDescent="0.2">
      <c r="A639" s="148"/>
      <c r="B639" s="148"/>
      <c r="C639" s="148"/>
      <c r="D639" s="148"/>
      <c r="E639" s="148"/>
      <c r="F639" s="148"/>
      <c r="G639" s="148"/>
      <c r="H639" s="148"/>
      <c r="I639" s="148"/>
      <c r="J639" s="148"/>
      <c r="K639" s="148"/>
      <c r="L639" s="148"/>
      <c r="M639" s="148"/>
      <c r="N639" s="148"/>
      <c r="O639" s="148"/>
      <c r="P639" s="148"/>
      <c r="Q639" s="148"/>
      <c r="R639" s="148"/>
      <c r="S639" s="148"/>
      <c r="T639" s="148"/>
      <c r="U639" s="148"/>
      <c r="V639" s="148"/>
      <c r="W639" s="148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</row>
    <row r="640" spans="1:55" x14ac:dyDescent="0.2">
      <c r="A640" s="148"/>
      <c r="B640" s="148"/>
      <c r="C640" s="148"/>
      <c r="D640" s="148"/>
      <c r="E640" s="148"/>
      <c r="F640" s="148"/>
      <c r="G640" s="148"/>
      <c r="H640" s="148"/>
      <c r="I640" s="148"/>
      <c r="J640" s="148"/>
      <c r="K640" s="148"/>
      <c r="L640" s="148"/>
      <c r="M640" s="148"/>
      <c r="N640" s="148"/>
      <c r="O640" s="148"/>
      <c r="P640" s="148"/>
      <c r="Q640" s="148"/>
      <c r="R640" s="148"/>
      <c r="S640" s="148"/>
      <c r="T640" s="148"/>
      <c r="U640" s="148"/>
      <c r="V640" s="148"/>
      <c r="W640" s="148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</row>
    <row r="641" spans="1:55" x14ac:dyDescent="0.2">
      <c r="A641" s="148"/>
      <c r="B641" s="148"/>
      <c r="C641" s="148"/>
      <c r="D641" s="148"/>
      <c r="E641" s="148"/>
      <c r="F641" s="148"/>
      <c r="G641" s="148"/>
      <c r="H641" s="148"/>
      <c r="I641" s="148"/>
      <c r="J641" s="148"/>
      <c r="K641" s="148"/>
      <c r="L641" s="148"/>
      <c r="M641" s="148"/>
      <c r="N641" s="148"/>
      <c r="O641" s="148"/>
      <c r="P641" s="148"/>
      <c r="Q641" s="148"/>
      <c r="R641" s="148"/>
      <c r="S641" s="148"/>
      <c r="T641" s="148"/>
      <c r="U641" s="148"/>
      <c r="V641" s="148"/>
      <c r="W641" s="148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</row>
    <row r="642" spans="1:55" x14ac:dyDescent="0.2">
      <c r="A642" s="148"/>
      <c r="B642" s="148"/>
      <c r="C642" s="148"/>
      <c r="D642" s="148"/>
      <c r="E642" s="148"/>
      <c r="F642" s="148"/>
      <c r="G642" s="148"/>
      <c r="H642" s="148"/>
      <c r="I642" s="148"/>
      <c r="J642" s="148"/>
      <c r="K642" s="148"/>
      <c r="L642" s="148"/>
      <c r="M642" s="148"/>
      <c r="N642" s="148"/>
      <c r="O642" s="148"/>
      <c r="P642" s="148"/>
      <c r="Q642" s="148"/>
      <c r="R642" s="148"/>
      <c r="S642" s="148"/>
      <c r="T642" s="148"/>
      <c r="U642" s="148"/>
      <c r="V642" s="148"/>
      <c r="W642" s="148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/>
      <c r="AH642" s="148"/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</row>
    <row r="643" spans="1:55" x14ac:dyDescent="0.2">
      <c r="A643" s="148"/>
      <c r="B643" s="148"/>
      <c r="C643" s="148"/>
      <c r="D643" s="148"/>
      <c r="E643" s="148"/>
      <c r="F643" s="148"/>
      <c r="G643" s="148"/>
      <c r="H643" s="148"/>
      <c r="I643" s="148"/>
      <c r="J643" s="148"/>
      <c r="K643" s="148"/>
      <c r="L643" s="148"/>
      <c r="M643" s="148"/>
      <c r="N643" s="148"/>
      <c r="O643" s="148"/>
      <c r="P643" s="148"/>
      <c r="Q643" s="148"/>
      <c r="R643" s="148"/>
      <c r="S643" s="148"/>
      <c r="T643" s="148"/>
      <c r="U643" s="148"/>
      <c r="V643" s="148"/>
      <c r="W643" s="148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/>
      <c r="AH643" s="148"/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</row>
    <row r="644" spans="1:55" x14ac:dyDescent="0.2">
      <c r="A644" s="148"/>
      <c r="B644" s="148"/>
      <c r="C644" s="148"/>
      <c r="D644" s="148"/>
      <c r="E644" s="148"/>
      <c r="F644" s="148"/>
      <c r="G644" s="148"/>
      <c r="H644" s="148"/>
      <c r="I644" s="148"/>
      <c r="J644" s="148"/>
      <c r="K644" s="148"/>
      <c r="L644" s="148"/>
      <c r="M644" s="148"/>
      <c r="N644" s="148"/>
      <c r="O644" s="148"/>
      <c r="P644" s="148"/>
      <c r="Q644" s="148"/>
      <c r="R644" s="148"/>
      <c r="S644" s="148"/>
      <c r="T644" s="148"/>
      <c r="U644" s="148"/>
      <c r="V644" s="148"/>
      <c r="W644" s="148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/>
      <c r="AH644" s="148"/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</row>
    <row r="645" spans="1:55" x14ac:dyDescent="0.2">
      <c r="A645" s="148"/>
      <c r="B645" s="148"/>
      <c r="C645" s="148"/>
      <c r="D645" s="148"/>
      <c r="E645" s="148"/>
      <c r="F645" s="148"/>
      <c r="G645" s="148"/>
      <c r="H645" s="148"/>
      <c r="I645" s="148"/>
      <c r="J645" s="148"/>
      <c r="K645" s="148"/>
      <c r="L645" s="148"/>
      <c r="M645" s="148"/>
      <c r="N645" s="148"/>
      <c r="O645" s="148"/>
      <c r="P645" s="148"/>
      <c r="Q645" s="148"/>
      <c r="R645" s="148"/>
      <c r="S645" s="148"/>
      <c r="T645" s="148"/>
      <c r="U645" s="148"/>
      <c r="V645" s="148"/>
      <c r="W645" s="148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/>
      <c r="AH645" s="148"/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</row>
    <row r="646" spans="1:55" x14ac:dyDescent="0.2">
      <c r="A646" s="148"/>
      <c r="B646" s="148"/>
      <c r="C646" s="148"/>
      <c r="D646" s="148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8"/>
      <c r="R646" s="148"/>
      <c r="S646" s="148"/>
      <c r="T646" s="148"/>
      <c r="U646" s="148"/>
      <c r="V646" s="148"/>
      <c r="W646" s="148"/>
      <c r="X646" s="148"/>
      <c r="Y646" s="148"/>
      <c r="Z646" s="148"/>
      <c r="AA646" s="148"/>
      <c r="AB646" s="148"/>
      <c r="AC646" s="148"/>
      <c r="AD646" s="148"/>
      <c r="AE646" s="148"/>
      <c r="AF646" s="148"/>
      <c r="AG646" s="148"/>
      <c r="AH646" s="148"/>
      <c r="AI646" s="148"/>
      <c r="AJ646" s="148"/>
      <c r="AK646" s="148"/>
      <c r="AL646" s="148"/>
      <c r="AM646" s="148"/>
      <c r="AN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</row>
    <row r="647" spans="1:55" x14ac:dyDescent="0.2">
      <c r="A647" s="148"/>
      <c r="B647" s="148"/>
      <c r="C647" s="148"/>
      <c r="D647" s="148"/>
      <c r="E647" s="148"/>
      <c r="F647" s="148"/>
      <c r="G647" s="148"/>
      <c r="H647" s="148"/>
      <c r="I647" s="148"/>
      <c r="J647" s="148"/>
      <c r="K647" s="148"/>
      <c r="L647" s="148"/>
      <c r="M647" s="148"/>
      <c r="N647" s="148"/>
      <c r="O647" s="148"/>
      <c r="P647" s="148"/>
      <c r="Q647" s="148"/>
      <c r="R647" s="148"/>
      <c r="S647" s="148"/>
      <c r="T647" s="148"/>
      <c r="U647" s="148"/>
      <c r="V647" s="148"/>
      <c r="W647" s="148"/>
      <c r="X647" s="148"/>
      <c r="Y647" s="148"/>
      <c r="Z647" s="148"/>
      <c r="AA647" s="148"/>
      <c r="AB647" s="148"/>
      <c r="AC647" s="148"/>
      <c r="AD647" s="148"/>
      <c r="AE647" s="148"/>
      <c r="AF647" s="148"/>
      <c r="AG647" s="148"/>
      <c r="AH647" s="148"/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</row>
    <row r="648" spans="1:55" x14ac:dyDescent="0.2">
      <c r="A648" s="148"/>
      <c r="B648" s="148"/>
      <c r="C648" s="148"/>
      <c r="D648" s="148"/>
      <c r="E648" s="148"/>
      <c r="F648" s="148"/>
      <c r="G648" s="148"/>
      <c r="H648" s="148"/>
      <c r="I648" s="148"/>
      <c r="J648" s="148"/>
      <c r="K648" s="148"/>
      <c r="L648" s="148"/>
      <c r="M648" s="148"/>
      <c r="N648" s="148"/>
      <c r="O648" s="148"/>
      <c r="P648" s="148"/>
      <c r="Q648" s="148"/>
      <c r="R648" s="148"/>
      <c r="S648" s="148"/>
      <c r="T648" s="148"/>
      <c r="U648" s="148"/>
      <c r="V648" s="148"/>
      <c r="W648" s="148"/>
      <c r="X648" s="148"/>
      <c r="Y648" s="148"/>
      <c r="Z648" s="148"/>
      <c r="AA648" s="148"/>
      <c r="AB648" s="148"/>
      <c r="AC648" s="148"/>
      <c r="AD648" s="148"/>
      <c r="AE648" s="148"/>
      <c r="AF648" s="148"/>
      <c r="AG648" s="148"/>
      <c r="AH648" s="148"/>
      <c r="AI648" s="148"/>
      <c r="AJ648" s="148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</row>
    <row r="649" spans="1:55" x14ac:dyDescent="0.2">
      <c r="A649" s="148"/>
      <c r="B649" s="148"/>
      <c r="C649" s="148"/>
      <c r="D649" s="148"/>
      <c r="E649" s="148"/>
      <c r="F649" s="148"/>
      <c r="G649" s="148"/>
      <c r="H649" s="148"/>
      <c r="I649" s="148"/>
      <c r="J649" s="148"/>
      <c r="K649" s="148"/>
      <c r="L649" s="148"/>
      <c r="M649" s="148"/>
      <c r="N649" s="148"/>
      <c r="O649" s="148"/>
      <c r="P649" s="148"/>
      <c r="Q649" s="148"/>
      <c r="R649" s="148"/>
      <c r="S649" s="148"/>
      <c r="T649" s="148"/>
      <c r="U649" s="148"/>
      <c r="V649" s="148"/>
      <c r="W649" s="148"/>
      <c r="X649" s="148"/>
      <c r="Y649" s="148"/>
      <c r="Z649" s="148"/>
      <c r="AA649" s="148"/>
      <c r="AB649" s="148"/>
      <c r="AC649" s="148"/>
      <c r="AD649" s="148"/>
      <c r="AE649" s="148"/>
      <c r="AF649" s="148"/>
      <c r="AG649" s="148"/>
      <c r="AH649" s="148"/>
      <c r="AI649" s="148"/>
      <c r="AJ649" s="148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</row>
    <row r="650" spans="1:55" x14ac:dyDescent="0.2">
      <c r="A650" s="148"/>
      <c r="B650" s="148"/>
      <c r="C650" s="148"/>
      <c r="D650" s="148"/>
      <c r="E650" s="148"/>
      <c r="F650" s="148"/>
      <c r="G650" s="148"/>
      <c r="H650" s="148"/>
      <c r="I650" s="148"/>
      <c r="J650" s="148"/>
      <c r="K650" s="148"/>
      <c r="L650" s="148"/>
      <c r="M650" s="148"/>
      <c r="N650" s="148"/>
      <c r="O650" s="148"/>
      <c r="P650" s="148"/>
      <c r="Q650" s="148"/>
      <c r="R650" s="148"/>
      <c r="S650" s="148"/>
      <c r="T650" s="148"/>
      <c r="U650" s="148"/>
      <c r="V650" s="148"/>
      <c r="W650" s="148"/>
      <c r="X650" s="148"/>
      <c r="Y650" s="148"/>
      <c r="Z650" s="148"/>
      <c r="AA650" s="148"/>
      <c r="AB650" s="148"/>
      <c r="AC650" s="148"/>
      <c r="AD650" s="148"/>
      <c r="AE650" s="148"/>
      <c r="AF650" s="148"/>
      <c r="AG650" s="148"/>
      <c r="AH650" s="148"/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</row>
    <row r="651" spans="1:55" x14ac:dyDescent="0.2">
      <c r="A651" s="148"/>
      <c r="B651" s="148"/>
      <c r="C651" s="148"/>
      <c r="D651" s="148"/>
      <c r="E651" s="148"/>
      <c r="F651" s="148"/>
      <c r="G651" s="148"/>
      <c r="H651" s="148"/>
      <c r="I651" s="148"/>
      <c r="J651" s="148"/>
      <c r="K651" s="148"/>
      <c r="L651" s="148"/>
      <c r="M651" s="148"/>
      <c r="N651" s="148"/>
      <c r="O651" s="148"/>
      <c r="P651" s="148"/>
      <c r="Q651" s="148"/>
      <c r="R651" s="148"/>
      <c r="S651" s="148"/>
      <c r="T651" s="148"/>
      <c r="U651" s="148"/>
      <c r="V651" s="148"/>
      <c r="W651" s="148"/>
      <c r="X651" s="148"/>
      <c r="Y651" s="148"/>
      <c r="Z651" s="148"/>
      <c r="AA651" s="148"/>
      <c r="AB651" s="148"/>
      <c r="AC651" s="148"/>
      <c r="AD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</row>
    <row r="652" spans="1:55" x14ac:dyDescent="0.2">
      <c r="A652" s="148"/>
      <c r="B652" s="148"/>
      <c r="C652" s="148"/>
      <c r="D652" s="148"/>
      <c r="E652" s="148"/>
      <c r="F652" s="148"/>
      <c r="G652" s="148"/>
      <c r="H652" s="148"/>
      <c r="I652" s="148"/>
      <c r="J652" s="148"/>
      <c r="K652" s="148"/>
      <c r="L652" s="148"/>
      <c r="M652" s="148"/>
      <c r="N652" s="148"/>
      <c r="O652" s="148"/>
      <c r="P652" s="148"/>
      <c r="Q652" s="148"/>
      <c r="R652" s="148"/>
      <c r="S652" s="148"/>
      <c r="T652" s="148"/>
      <c r="U652" s="148"/>
      <c r="V652" s="148"/>
      <c r="W652" s="148"/>
      <c r="X652" s="148"/>
      <c r="Y652" s="148"/>
      <c r="Z652" s="148"/>
      <c r="AA652" s="148"/>
      <c r="AB652" s="148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</row>
    <row r="653" spans="1:55" x14ac:dyDescent="0.2">
      <c r="A653" s="148"/>
      <c r="B653" s="148"/>
      <c r="C653" s="148"/>
      <c r="D653" s="148"/>
      <c r="E653" s="148"/>
      <c r="F653" s="148"/>
      <c r="G653" s="148"/>
      <c r="H653" s="148"/>
      <c r="I653" s="148"/>
      <c r="J653" s="148"/>
      <c r="K653" s="148"/>
      <c r="L653" s="148"/>
      <c r="M653" s="148"/>
      <c r="N653" s="148"/>
      <c r="O653" s="148"/>
      <c r="P653" s="148"/>
      <c r="Q653" s="148"/>
      <c r="R653" s="148"/>
      <c r="S653" s="148"/>
      <c r="T653" s="148"/>
      <c r="U653" s="148"/>
      <c r="V653" s="148"/>
      <c r="W653" s="148"/>
      <c r="X653" s="148"/>
      <c r="Y653" s="148"/>
      <c r="Z653" s="148"/>
      <c r="AA653" s="148"/>
      <c r="AB653" s="148"/>
      <c r="AC653" s="148"/>
      <c r="AD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</row>
    <row r="654" spans="1:55" x14ac:dyDescent="0.2">
      <c r="A654" s="148"/>
      <c r="B654" s="148"/>
      <c r="C654" s="148"/>
      <c r="D654" s="148"/>
      <c r="E654" s="148"/>
      <c r="F654" s="148"/>
      <c r="G654" s="148"/>
      <c r="H654" s="148"/>
      <c r="I654" s="148"/>
      <c r="J654" s="148"/>
      <c r="K654" s="148"/>
      <c r="L654" s="148"/>
      <c r="M654" s="148"/>
      <c r="N654" s="148"/>
      <c r="O654" s="148"/>
      <c r="P654" s="148"/>
      <c r="Q654" s="148"/>
      <c r="R654" s="148"/>
      <c r="S654" s="148"/>
      <c r="T654" s="148"/>
      <c r="U654" s="148"/>
      <c r="V654" s="148"/>
      <c r="W654" s="148"/>
      <c r="X654" s="148"/>
      <c r="Y654" s="148"/>
      <c r="Z654" s="148"/>
      <c r="AA654" s="148"/>
      <c r="AB654" s="148"/>
      <c r="AC654" s="148"/>
      <c r="AD654" s="148"/>
      <c r="AE654" s="148"/>
      <c r="AF654" s="148"/>
      <c r="AG654" s="148"/>
      <c r="AH654" s="148"/>
      <c r="AI654" s="148"/>
      <c r="AJ654" s="148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</row>
    <row r="655" spans="1:55" x14ac:dyDescent="0.2">
      <c r="A655" s="148"/>
      <c r="B655" s="148"/>
      <c r="C655" s="148"/>
      <c r="D655" s="148"/>
      <c r="E655" s="148"/>
      <c r="F655" s="148"/>
      <c r="G655" s="148"/>
      <c r="H655" s="148"/>
      <c r="I655" s="148"/>
      <c r="J655" s="148"/>
      <c r="K655" s="148"/>
      <c r="L655" s="148"/>
      <c r="M655" s="148"/>
      <c r="N655" s="148"/>
      <c r="O655" s="148"/>
      <c r="P655" s="148"/>
      <c r="Q655" s="148"/>
      <c r="R655" s="148"/>
      <c r="S655" s="148"/>
      <c r="T655" s="148"/>
      <c r="U655" s="148"/>
      <c r="V655" s="148"/>
      <c r="W655" s="148"/>
      <c r="X655" s="148"/>
      <c r="Y655" s="148"/>
      <c r="Z655" s="148"/>
      <c r="AA655" s="148"/>
      <c r="AB655" s="148"/>
      <c r="AC655" s="148"/>
      <c r="AD655" s="148"/>
      <c r="AE655" s="148"/>
      <c r="AF655" s="148"/>
      <c r="AG655" s="148"/>
      <c r="AH655" s="148"/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</row>
    <row r="656" spans="1:55" x14ac:dyDescent="0.2">
      <c r="A656" s="148"/>
      <c r="B656" s="148"/>
      <c r="C656" s="148"/>
      <c r="D656" s="148"/>
      <c r="E656" s="148"/>
      <c r="F656" s="148"/>
      <c r="G656" s="148"/>
      <c r="H656" s="148"/>
      <c r="I656" s="148"/>
      <c r="J656" s="148"/>
      <c r="K656" s="148"/>
      <c r="L656" s="148"/>
      <c r="M656" s="148"/>
      <c r="N656" s="148"/>
      <c r="O656" s="148"/>
      <c r="P656" s="148"/>
      <c r="Q656" s="148"/>
      <c r="R656" s="148"/>
      <c r="S656" s="148"/>
      <c r="T656" s="148"/>
      <c r="U656" s="148"/>
      <c r="V656" s="148"/>
      <c r="W656" s="148"/>
      <c r="X656" s="148"/>
      <c r="Y656" s="148"/>
      <c r="Z656" s="148"/>
      <c r="AA656" s="148"/>
      <c r="AB656" s="148"/>
      <c r="AC656" s="148"/>
      <c r="AD656" s="148"/>
      <c r="AE656" s="148"/>
      <c r="AF656" s="148"/>
      <c r="AG656" s="148"/>
      <c r="AH656" s="148"/>
      <c r="AI656" s="148"/>
      <c r="AJ656" s="148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</row>
    <row r="657" spans="1:55" x14ac:dyDescent="0.2">
      <c r="A657" s="148"/>
      <c r="B657" s="148"/>
      <c r="C657" s="148"/>
      <c r="D657" s="148"/>
      <c r="E657" s="148"/>
      <c r="F657" s="148"/>
      <c r="G657" s="148"/>
      <c r="H657" s="148"/>
      <c r="I657" s="148"/>
      <c r="J657" s="148"/>
      <c r="K657" s="148"/>
      <c r="L657" s="148"/>
      <c r="M657" s="148"/>
      <c r="N657" s="148"/>
      <c r="O657" s="148"/>
      <c r="P657" s="148"/>
      <c r="Q657" s="148"/>
      <c r="R657" s="148"/>
      <c r="S657" s="148"/>
      <c r="T657" s="148"/>
      <c r="U657" s="148"/>
      <c r="V657" s="148"/>
      <c r="W657" s="148"/>
      <c r="X657" s="148"/>
      <c r="Y657" s="148"/>
      <c r="Z657" s="148"/>
      <c r="AA657" s="148"/>
      <c r="AB657" s="148"/>
      <c r="AC657" s="148"/>
      <c r="AD657" s="148"/>
      <c r="AE657" s="148"/>
      <c r="AF657" s="148"/>
      <c r="AG657" s="148"/>
      <c r="AH657" s="148"/>
      <c r="AI657" s="148"/>
      <c r="AJ657" s="148"/>
      <c r="AK657" s="148"/>
      <c r="AL657" s="148"/>
      <c r="AM657" s="148"/>
      <c r="AN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</row>
    <row r="658" spans="1:55" x14ac:dyDescent="0.2">
      <c r="A658" s="148"/>
      <c r="B658" s="148"/>
      <c r="C658" s="148"/>
      <c r="D658" s="148"/>
      <c r="E658" s="148"/>
      <c r="F658" s="148"/>
      <c r="G658" s="148"/>
      <c r="H658" s="148"/>
      <c r="I658" s="148"/>
      <c r="J658" s="148"/>
      <c r="K658" s="148"/>
      <c r="L658" s="148"/>
      <c r="M658" s="148"/>
      <c r="N658" s="148"/>
      <c r="O658" s="148"/>
      <c r="P658" s="148"/>
      <c r="Q658" s="148"/>
      <c r="R658" s="148"/>
      <c r="S658" s="148"/>
      <c r="T658" s="148"/>
      <c r="U658" s="148"/>
      <c r="V658" s="148"/>
      <c r="W658" s="148"/>
      <c r="X658" s="148"/>
      <c r="Y658" s="148"/>
      <c r="Z658" s="148"/>
      <c r="AA658" s="148"/>
      <c r="AB658" s="148"/>
      <c r="AC658" s="148"/>
      <c r="AD658" s="148"/>
      <c r="AE658" s="148"/>
      <c r="AF658" s="148"/>
      <c r="AG658" s="148"/>
      <c r="AH658" s="148"/>
      <c r="AI658" s="148"/>
      <c r="AJ658" s="148"/>
      <c r="AK658" s="148"/>
      <c r="AL658" s="148"/>
      <c r="AM658" s="148"/>
      <c r="AN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</row>
    <row r="659" spans="1:55" x14ac:dyDescent="0.2">
      <c r="A659" s="148"/>
      <c r="B659" s="148"/>
      <c r="C659" s="148"/>
      <c r="D659" s="148"/>
      <c r="E659" s="148"/>
      <c r="F659" s="148"/>
      <c r="G659" s="148"/>
      <c r="H659" s="148"/>
      <c r="I659" s="148"/>
      <c r="J659" s="148"/>
      <c r="K659" s="148"/>
      <c r="L659" s="148"/>
      <c r="M659" s="148"/>
      <c r="N659" s="148"/>
      <c r="O659" s="148"/>
      <c r="P659" s="148"/>
      <c r="Q659" s="148"/>
      <c r="R659" s="148"/>
      <c r="S659" s="148"/>
      <c r="T659" s="148"/>
      <c r="U659" s="148"/>
      <c r="V659" s="148"/>
      <c r="W659" s="148"/>
      <c r="X659" s="148"/>
      <c r="Y659" s="148"/>
      <c r="Z659" s="148"/>
      <c r="AA659" s="148"/>
      <c r="AB659" s="148"/>
      <c r="AC659" s="148"/>
      <c r="AD659" s="148"/>
      <c r="AE659" s="148"/>
      <c r="AF659" s="148"/>
      <c r="AG659" s="148"/>
      <c r="AH659" s="148"/>
      <c r="AI659" s="148"/>
      <c r="AJ659" s="148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</row>
    <row r="660" spans="1:55" x14ac:dyDescent="0.2">
      <c r="A660" s="148"/>
      <c r="B660" s="148"/>
      <c r="C660" s="148"/>
      <c r="D660" s="148"/>
      <c r="E660" s="148"/>
      <c r="F660" s="148"/>
      <c r="G660" s="148"/>
      <c r="H660" s="148"/>
      <c r="I660" s="148"/>
      <c r="J660" s="148"/>
      <c r="K660" s="148"/>
      <c r="L660" s="148"/>
      <c r="M660" s="148"/>
      <c r="N660" s="148"/>
      <c r="O660" s="148"/>
      <c r="P660" s="148"/>
      <c r="Q660" s="148"/>
      <c r="R660" s="148"/>
      <c r="S660" s="148"/>
      <c r="T660" s="148"/>
      <c r="U660" s="148"/>
      <c r="V660" s="148"/>
      <c r="W660" s="148"/>
      <c r="X660" s="148"/>
      <c r="Y660" s="148"/>
      <c r="Z660" s="148"/>
      <c r="AA660" s="148"/>
      <c r="AB660" s="148"/>
      <c r="AC660" s="148"/>
      <c r="AD660" s="148"/>
      <c r="AE660" s="148"/>
      <c r="AF660" s="148"/>
      <c r="AG660" s="148"/>
      <c r="AH660" s="148"/>
      <c r="AI660" s="148"/>
      <c r="AJ660" s="148"/>
      <c r="AK660" s="148"/>
      <c r="AL660" s="148"/>
      <c r="AM660" s="148"/>
      <c r="AN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</row>
    <row r="661" spans="1:55" x14ac:dyDescent="0.2">
      <c r="A661" s="148"/>
      <c r="B661" s="148"/>
      <c r="C661" s="148"/>
      <c r="D661" s="148"/>
      <c r="E661" s="148"/>
      <c r="F661" s="148"/>
      <c r="G661" s="148"/>
      <c r="H661" s="148"/>
      <c r="I661" s="148"/>
      <c r="J661" s="148"/>
      <c r="K661" s="148"/>
      <c r="L661" s="148"/>
      <c r="M661" s="148"/>
      <c r="N661" s="148"/>
      <c r="O661" s="148"/>
      <c r="P661" s="148"/>
      <c r="Q661" s="148"/>
      <c r="R661" s="148"/>
      <c r="S661" s="148"/>
      <c r="T661" s="148"/>
      <c r="U661" s="148"/>
      <c r="V661" s="148"/>
      <c r="W661" s="148"/>
      <c r="X661" s="148"/>
      <c r="Y661" s="148"/>
      <c r="Z661" s="148"/>
      <c r="AA661" s="148"/>
      <c r="AB661" s="148"/>
      <c r="AC661" s="148"/>
      <c r="AD661" s="148"/>
      <c r="AE661" s="148"/>
      <c r="AF661" s="148"/>
      <c r="AG661" s="148"/>
      <c r="AH661" s="148"/>
      <c r="AI661" s="148"/>
      <c r="AJ661" s="148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</row>
    <row r="662" spans="1:55" x14ac:dyDescent="0.2">
      <c r="A662" s="148"/>
      <c r="B662" s="148"/>
      <c r="C662" s="148"/>
      <c r="D662" s="148"/>
      <c r="E662" s="148"/>
      <c r="F662" s="148"/>
      <c r="G662" s="148"/>
      <c r="H662" s="148"/>
      <c r="I662" s="148"/>
      <c r="J662" s="148"/>
      <c r="K662" s="148"/>
      <c r="L662" s="148"/>
      <c r="M662" s="148"/>
      <c r="N662" s="148"/>
      <c r="O662" s="148"/>
      <c r="P662" s="148"/>
      <c r="Q662" s="148"/>
      <c r="R662" s="148"/>
      <c r="S662" s="148"/>
      <c r="T662" s="148"/>
      <c r="U662" s="148"/>
      <c r="V662" s="148"/>
      <c r="W662" s="148"/>
      <c r="X662" s="148"/>
      <c r="Y662" s="148"/>
      <c r="Z662" s="148"/>
      <c r="AA662" s="148"/>
      <c r="AB662" s="148"/>
      <c r="AC662" s="148"/>
      <c r="AD662" s="148"/>
      <c r="AE662" s="148"/>
      <c r="AF662" s="148"/>
      <c r="AG662" s="148"/>
      <c r="AH662" s="148"/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</row>
    <row r="663" spans="1:55" x14ac:dyDescent="0.2">
      <c r="A663" s="148"/>
      <c r="B663" s="148"/>
      <c r="C663" s="148"/>
      <c r="D663" s="148"/>
      <c r="E663" s="148"/>
      <c r="F663" s="148"/>
      <c r="G663" s="148"/>
      <c r="H663" s="148"/>
      <c r="I663" s="148"/>
      <c r="J663" s="148"/>
      <c r="K663" s="148"/>
      <c r="L663" s="148"/>
      <c r="M663" s="148"/>
      <c r="N663" s="148"/>
      <c r="O663" s="148"/>
      <c r="P663" s="148"/>
      <c r="Q663" s="148"/>
      <c r="R663" s="148"/>
      <c r="S663" s="148"/>
      <c r="T663" s="148"/>
      <c r="U663" s="148"/>
      <c r="V663" s="148"/>
      <c r="W663" s="14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</row>
    <row r="664" spans="1:55" x14ac:dyDescent="0.2">
      <c r="A664" s="148"/>
      <c r="B664" s="148"/>
      <c r="C664" s="148"/>
      <c r="D664" s="148"/>
      <c r="E664" s="148"/>
      <c r="F664" s="148"/>
      <c r="G664" s="148"/>
      <c r="H664" s="148"/>
      <c r="I664" s="148"/>
      <c r="J664" s="148"/>
      <c r="K664" s="148"/>
      <c r="L664" s="148"/>
      <c r="M664" s="148"/>
      <c r="N664" s="148"/>
      <c r="O664" s="148"/>
      <c r="P664" s="148"/>
      <c r="Q664" s="148"/>
      <c r="R664" s="148"/>
      <c r="S664" s="148"/>
      <c r="T664" s="148"/>
      <c r="U664" s="148"/>
      <c r="V664" s="148"/>
      <c r="W664" s="14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</row>
    <row r="665" spans="1:55" x14ac:dyDescent="0.2">
      <c r="A665" s="148"/>
      <c r="B665" s="148"/>
      <c r="C665" s="148"/>
      <c r="D665" s="148"/>
      <c r="E665" s="148"/>
      <c r="F665" s="148"/>
      <c r="G665" s="148"/>
      <c r="H665" s="148"/>
      <c r="I665" s="148"/>
      <c r="J665" s="148"/>
      <c r="K665" s="148"/>
      <c r="L665" s="148"/>
      <c r="M665" s="148"/>
      <c r="N665" s="148"/>
      <c r="O665" s="148"/>
      <c r="P665" s="148"/>
      <c r="Q665" s="148"/>
      <c r="R665" s="148"/>
      <c r="S665" s="148"/>
      <c r="T665" s="148"/>
      <c r="U665" s="148"/>
      <c r="V665" s="148"/>
      <c r="W665" s="14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</row>
    <row r="666" spans="1:55" x14ac:dyDescent="0.2">
      <c r="A666" s="148"/>
      <c r="B666" s="148"/>
      <c r="C666" s="148"/>
      <c r="D666" s="148"/>
      <c r="E666" s="148"/>
      <c r="F666" s="148"/>
      <c r="G666" s="148"/>
      <c r="H666" s="148"/>
      <c r="I666" s="148"/>
      <c r="J666" s="148"/>
      <c r="K666" s="148"/>
      <c r="L666" s="148"/>
      <c r="M666" s="148"/>
      <c r="N666" s="148"/>
      <c r="O666" s="148"/>
      <c r="P666" s="148"/>
      <c r="Q666" s="148"/>
      <c r="R666" s="148"/>
      <c r="S666" s="148"/>
      <c r="T666" s="148"/>
      <c r="U666" s="148"/>
      <c r="V666" s="148"/>
      <c r="W666" s="14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</row>
    <row r="667" spans="1:55" x14ac:dyDescent="0.2">
      <c r="A667" s="148"/>
      <c r="B667" s="148"/>
      <c r="C667" s="148"/>
      <c r="D667" s="148"/>
      <c r="E667" s="148"/>
      <c r="F667" s="148"/>
      <c r="G667" s="148"/>
      <c r="H667" s="148"/>
      <c r="I667" s="148"/>
      <c r="J667" s="148"/>
      <c r="K667" s="148"/>
      <c r="L667" s="148"/>
      <c r="M667" s="148"/>
      <c r="N667" s="148"/>
      <c r="O667" s="148"/>
      <c r="P667" s="148"/>
      <c r="Q667" s="148"/>
      <c r="R667" s="148"/>
      <c r="S667" s="148"/>
      <c r="T667" s="148"/>
      <c r="U667" s="148"/>
      <c r="V667" s="148"/>
      <c r="W667" s="14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</row>
    <row r="668" spans="1:55" x14ac:dyDescent="0.2">
      <c r="A668" s="148"/>
      <c r="B668" s="148"/>
      <c r="C668" s="148"/>
      <c r="D668" s="148"/>
      <c r="E668" s="148"/>
      <c r="F668" s="148"/>
      <c r="G668" s="148"/>
      <c r="H668" s="148"/>
      <c r="I668" s="148"/>
      <c r="J668" s="148"/>
      <c r="K668" s="148"/>
      <c r="L668" s="148"/>
      <c r="M668" s="148"/>
      <c r="N668" s="148"/>
      <c r="O668" s="148"/>
      <c r="P668" s="148"/>
      <c r="Q668" s="148"/>
      <c r="R668" s="148"/>
      <c r="S668" s="148"/>
      <c r="T668" s="148"/>
      <c r="U668" s="148"/>
      <c r="V668" s="148"/>
      <c r="W668" s="14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</row>
    <row r="669" spans="1:55" x14ac:dyDescent="0.2">
      <c r="A669" s="148"/>
      <c r="B669" s="148"/>
      <c r="C669" s="148"/>
      <c r="D669" s="148"/>
      <c r="E669" s="148"/>
      <c r="F669" s="148"/>
      <c r="G669" s="148"/>
      <c r="H669" s="148"/>
      <c r="I669" s="148"/>
      <c r="J669" s="148"/>
      <c r="K669" s="148"/>
      <c r="L669" s="148"/>
      <c r="M669" s="148"/>
      <c r="N669" s="148"/>
      <c r="O669" s="148"/>
      <c r="P669" s="148"/>
      <c r="Q669" s="148"/>
      <c r="R669" s="148"/>
      <c r="S669" s="148"/>
      <c r="T669" s="148"/>
      <c r="U669" s="148"/>
      <c r="V669" s="148"/>
      <c r="W669" s="14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</row>
    <row r="670" spans="1:55" x14ac:dyDescent="0.2">
      <c r="A670" s="148"/>
      <c r="B670" s="148"/>
      <c r="C670" s="148"/>
      <c r="D670" s="148"/>
      <c r="E670" s="148"/>
      <c r="F670" s="148"/>
      <c r="G670" s="148"/>
      <c r="H670" s="148"/>
      <c r="I670" s="148"/>
      <c r="J670" s="148"/>
      <c r="K670" s="148"/>
      <c r="L670" s="148"/>
      <c r="M670" s="148"/>
      <c r="N670" s="148"/>
      <c r="O670" s="148"/>
      <c r="P670" s="148"/>
      <c r="Q670" s="148"/>
      <c r="R670" s="148"/>
      <c r="S670" s="148"/>
      <c r="T670" s="148"/>
      <c r="U670" s="148"/>
      <c r="V670" s="148"/>
      <c r="W670" s="14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</row>
    <row r="671" spans="1:55" x14ac:dyDescent="0.2">
      <c r="A671" s="148"/>
      <c r="B671" s="148"/>
      <c r="C671" s="148"/>
      <c r="D671" s="148"/>
      <c r="E671" s="148"/>
      <c r="F671" s="148"/>
      <c r="G671" s="148"/>
      <c r="H671" s="148"/>
      <c r="I671" s="148"/>
      <c r="J671" s="148"/>
      <c r="K671" s="148"/>
      <c r="L671" s="148"/>
      <c r="M671" s="148"/>
      <c r="N671" s="148"/>
      <c r="O671" s="148"/>
      <c r="P671" s="148"/>
      <c r="Q671" s="148"/>
      <c r="R671" s="148"/>
      <c r="S671" s="148"/>
      <c r="T671" s="148"/>
      <c r="U671" s="148"/>
      <c r="V671" s="148"/>
      <c r="W671" s="148"/>
      <c r="X671" s="148"/>
      <c r="Y671" s="148"/>
      <c r="Z671" s="148"/>
      <c r="AA671" s="148"/>
      <c r="AB671" s="148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</row>
    <row r="672" spans="1:55" x14ac:dyDescent="0.2">
      <c r="A672" s="148"/>
      <c r="B672" s="148"/>
      <c r="C672" s="148"/>
      <c r="D672" s="148"/>
      <c r="E672" s="148"/>
      <c r="F672" s="148"/>
      <c r="G672" s="148"/>
      <c r="H672" s="148"/>
      <c r="I672" s="148"/>
      <c r="J672" s="148"/>
      <c r="K672" s="148"/>
      <c r="L672" s="148"/>
      <c r="M672" s="148"/>
      <c r="N672" s="148"/>
      <c r="O672" s="148"/>
      <c r="P672" s="148"/>
      <c r="Q672" s="148"/>
      <c r="R672" s="148"/>
      <c r="S672" s="148"/>
      <c r="T672" s="148"/>
      <c r="U672" s="148"/>
      <c r="V672" s="148"/>
      <c r="W672" s="148"/>
      <c r="X672" s="148"/>
      <c r="Y672" s="148"/>
      <c r="Z672" s="148"/>
      <c r="AA672" s="148"/>
      <c r="AB672" s="148"/>
      <c r="AC672" s="148"/>
      <c r="AD672" s="148"/>
      <c r="AE672" s="148"/>
      <c r="AF672" s="148"/>
      <c r="AG672" s="148"/>
      <c r="AH672" s="148"/>
      <c r="AI672" s="148"/>
      <c r="AJ672" s="148"/>
      <c r="AK672" s="148"/>
      <c r="AL672" s="148"/>
      <c r="AM672" s="148"/>
      <c r="AN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</row>
    <row r="673" spans="1:55" x14ac:dyDescent="0.2">
      <c r="A673" s="148"/>
      <c r="B673" s="148"/>
      <c r="C673" s="148"/>
      <c r="D673" s="148"/>
      <c r="E673" s="148"/>
      <c r="F673" s="148"/>
      <c r="G673" s="148"/>
      <c r="H673" s="148"/>
      <c r="I673" s="148"/>
      <c r="J673" s="148"/>
      <c r="K673" s="148"/>
      <c r="L673" s="148"/>
      <c r="M673" s="148"/>
      <c r="N673" s="148"/>
      <c r="O673" s="148"/>
      <c r="P673" s="148"/>
      <c r="Q673" s="148"/>
      <c r="R673" s="148"/>
      <c r="S673" s="148"/>
      <c r="T673" s="148"/>
      <c r="U673" s="148"/>
      <c r="V673" s="148"/>
      <c r="W673" s="148"/>
      <c r="X673" s="148"/>
      <c r="Y673" s="148"/>
      <c r="Z673" s="148"/>
      <c r="AA673" s="148"/>
      <c r="AB673" s="148"/>
      <c r="AC673" s="148"/>
      <c r="AD673" s="148"/>
      <c r="AE673" s="148"/>
      <c r="AF673" s="148"/>
      <c r="AG673" s="148"/>
      <c r="AH673" s="148"/>
      <c r="AI673" s="148"/>
      <c r="AJ673" s="148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</row>
    <row r="674" spans="1:55" x14ac:dyDescent="0.2">
      <c r="A674" s="148"/>
      <c r="B674" s="148"/>
      <c r="C674" s="148"/>
      <c r="D674" s="148"/>
      <c r="E674" s="148"/>
      <c r="F674" s="148"/>
      <c r="G674" s="148"/>
      <c r="H674" s="148"/>
      <c r="I674" s="148"/>
      <c r="J674" s="148"/>
      <c r="K674" s="148"/>
      <c r="L674" s="148"/>
      <c r="M674" s="148"/>
      <c r="N674" s="148"/>
      <c r="O674" s="148"/>
      <c r="P674" s="148"/>
      <c r="Q674" s="148"/>
      <c r="R674" s="148"/>
      <c r="S674" s="148"/>
      <c r="T674" s="148"/>
      <c r="U674" s="148"/>
      <c r="V674" s="148"/>
      <c r="W674" s="148"/>
      <c r="X674" s="148"/>
      <c r="Y674" s="148"/>
      <c r="Z674" s="148"/>
      <c r="AA674" s="148"/>
      <c r="AB674" s="148"/>
      <c r="AC674" s="148"/>
      <c r="AD674" s="148"/>
      <c r="AE674" s="148"/>
      <c r="AF674" s="148"/>
      <c r="AG674" s="148"/>
      <c r="AH674" s="148"/>
      <c r="AI674" s="148"/>
      <c r="AJ674" s="148"/>
      <c r="AK674" s="148"/>
      <c r="AL674" s="148"/>
      <c r="AM674" s="148"/>
      <c r="AN674" s="148"/>
      <c r="AO674" s="148"/>
      <c r="AP674" s="148"/>
      <c r="AQ674" s="148"/>
      <c r="AR674" s="148"/>
      <c r="AS674" s="148"/>
      <c r="AT674" s="148"/>
      <c r="AU674" s="148"/>
      <c r="AV674" s="148"/>
      <c r="AW674" s="148"/>
      <c r="AX674" s="148"/>
      <c r="AY674" s="148"/>
      <c r="AZ674" s="148"/>
      <c r="BA674" s="148"/>
      <c r="BB674" s="148"/>
      <c r="BC674" s="148"/>
    </row>
    <row r="675" spans="1:55" x14ac:dyDescent="0.2">
      <c r="A675" s="148"/>
      <c r="B675" s="148"/>
      <c r="C675" s="148"/>
      <c r="D675" s="148"/>
      <c r="E675" s="148"/>
      <c r="F675" s="148"/>
      <c r="G675" s="148"/>
      <c r="H675" s="148"/>
      <c r="I675" s="148"/>
      <c r="J675" s="148"/>
      <c r="K675" s="148"/>
      <c r="L675" s="148"/>
      <c r="M675" s="148"/>
      <c r="N675" s="148"/>
      <c r="O675" s="148"/>
      <c r="P675" s="148"/>
      <c r="Q675" s="148"/>
      <c r="R675" s="148"/>
      <c r="S675" s="148"/>
      <c r="T675" s="148"/>
      <c r="U675" s="148"/>
      <c r="V675" s="148"/>
      <c r="W675" s="148"/>
      <c r="X675" s="148"/>
      <c r="Y675" s="148"/>
      <c r="Z675" s="148"/>
      <c r="AA675" s="148"/>
      <c r="AB675" s="148"/>
      <c r="AC675" s="148"/>
      <c r="AD675" s="148"/>
      <c r="AE675" s="148"/>
      <c r="AF675" s="148"/>
      <c r="AG675" s="148"/>
      <c r="AH675" s="148"/>
      <c r="AI675" s="148"/>
      <c r="AJ675" s="148"/>
      <c r="AK675" s="148"/>
      <c r="AL675" s="148"/>
      <c r="AM675" s="148"/>
      <c r="AN675" s="148"/>
      <c r="AO675" s="148"/>
      <c r="AP675" s="148"/>
      <c r="AQ675" s="148"/>
      <c r="AR675" s="148"/>
      <c r="AS675" s="148"/>
      <c r="AT675" s="148"/>
      <c r="AU675" s="148"/>
      <c r="AV675" s="148"/>
      <c r="AW675" s="148"/>
      <c r="AX675" s="148"/>
      <c r="AY675" s="148"/>
      <c r="AZ675" s="148"/>
      <c r="BA675" s="148"/>
      <c r="BB675" s="148"/>
      <c r="BC675" s="148"/>
    </row>
    <row r="676" spans="1:55" x14ac:dyDescent="0.2">
      <c r="A676" s="148"/>
      <c r="B676" s="148"/>
      <c r="C676" s="148"/>
      <c r="D676" s="148"/>
      <c r="E676" s="148"/>
      <c r="F676" s="148"/>
      <c r="G676" s="148"/>
      <c r="H676" s="148"/>
      <c r="I676" s="148"/>
      <c r="J676" s="148"/>
      <c r="K676" s="148"/>
      <c r="L676" s="148"/>
      <c r="M676" s="148"/>
      <c r="N676" s="148"/>
      <c r="O676" s="148"/>
      <c r="P676" s="148"/>
      <c r="Q676" s="148"/>
      <c r="R676" s="148"/>
      <c r="S676" s="148"/>
      <c r="T676" s="148"/>
      <c r="U676" s="148"/>
      <c r="V676" s="148"/>
      <c r="W676" s="148"/>
      <c r="X676" s="148"/>
      <c r="Y676" s="148"/>
      <c r="Z676" s="148"/>
      <c r="AA676" s="148"/>
      <c r="AB676" s="148"/>
      <c r="AC676" s="148"/>
      <c r="AD676" s="148"/>
      <c r="AE676" s="148"/>
      <c r="AF676" s="148"/>
      <c r="AG676" s="148"/>
      <c r="AH676" s="148"/>
      <c r="AI676" s="148"/>
      <c r="AJ676" s="148"/>
      <c r="AK676" s="148"/>
      <c r="AL676" s="148"/>
      <c r="AM676" s="148"/>
      <c r="AN676" s="148"/>
      <c r="AO676" s="148"/>
      <c r="AP676" s="148"/>
      <c r="AQ676" s="148"/>
      <c r="AR676" s="148"/>
      <c r="AS676" s="148"/>
      <c r="AT676" s="148"/>
      <c r="AU676" s="148"/>
      <c r="AV676" s="148"/>
      <c r="AW676" s="148"/>
      <c r="AX676" s="148"/>
      <c r="AY676" s="148"/>
      <c r="AZ676" s="148"/>
      <c r="BA676" s="148"/>
      <c r="BB676" s="148"/>
      <c r="BC676" s="148"/>
    </row>
    <row r="677" spans="1:55" x14ac:dyDescent="0.2">
      <c r="A677" s="148"/>
      <c r="B677" s="148"/>
      <c r="C677" s="148"/>
      <c r="D677" s="148"/>
      <c r="E677" s="148"/>
      <c r="F677" s="148"/>
      <c r="G677" s="148"/>
      <c r="H677" s="148"/>
      <c r="I677" s="148"/>
      <c r="J677" s="148"/>
      <c r="K677" s="148"/>
      <c r="L677" s="148"/>
      <c r="M677" s="148"/>
      <c r="N677" s="148"/>
      <c r="O677" s="148"/>
      <c r="P677" s="148"/>
      <c r="Q677" s="148"/>
      <c r="R677" s="148"/>
      <c r="S677" s="148"/>
      <c r="T677" s="148"/>
      <c r="U677" s="148"/>
      <c r="V677" s="148"/>
      <c r="W677" s="148"/>
      <c r="X677" s="148"/>
      <c r="Y677" s="148"/>
      <c r="Z677" s="148"/>
      <c r="AA677" s="148"/>
      <c r="AB677" s="148"/>
      <c r="AC677" s="148"/>
      <c r="AD677" s="148"/>
      <c r="AE677" s="148"/>
      <c r="AF677" s="148"/>
      <c r="AG677" s="148"/>
      <c r="AH677" s="148"/>
      <c r="AI677" s="148"/>
      <c r="AJ677" s="148"/>
      <c r="AK677" s="148"/>
      <c r="AL677" s="148"/>
      <c r="AM677" s="148"/>
      <c r="AN677" s="148"/>
      <c r="AO677" s="148"/>
      <c r="AP677" s="148"/>
      <c r="AQ677" s="148"/>
      <c r="AR677" s="148"/>
      <c r="AS677" s="148"/>
      <c r="AT677" s="148"/>
      <c r="AU677" s="148"/>
      <c r="AV677" s="148"/>
      <c r="AW677" s="148"/>
      <c r="AX677" s="148"/>
      <c r="AY677" s="148"/>
      <c r="AZ677" s="148"/>
      <c r="BA677" s="148"/>
      <c r="BB677" s="148"/>
      <c r="BC677" s="148"/>
    </row>
    <row r="678" spans="1:55" x14ac:dyDescent="0.2">
      <c r="A678" s="148"/>
      <c r="B678" s="148"/>
      <c r="C678" s="148"/>
      <c r="D678" s="148"/>
      <c r="E678" s="148"/>
      <c r="F678" s="148"/>
      <c r="G678" s="148"/>
      <c r="H678" s="148"/>
      <c r="I678" s="148"/>
      <c r="J678" s="148"/>
      <c r="K678" s="148"/>
      <c r="L678" s="148"/>
      <c r="M678" s="148"/>
      <c r="N678" s="148"/>
      <c r="O678" s="148"/>
      <c r="P678" s="148"/>
      <c r="Q678" s="148"/>
      <c r="R678" s="148"/>
      <c r="S678" s="148"/>
      <c r="T678" s="148"/>
      <c r="U678" s="148"/>
      <c r="V678" s="148"/>
      <c r="W678" s="148"/>
      <c r="X678" s="148"/>
      <c r="Y678" s="148"/>
      <c r="Z678" s="148"/>
      <c r="AA678" s="148"/>
      <c r="AB678" s="148"/>
      <c r="AC678" s="148"/>
      <c r="AD678" s="148"/>
      <c r="AE678" s="148"/>
      <c r="AF678" s="148"/>
      <c r="AG678" s="148"/>
      <c r="AH678" s="148"/>
      <c r="AI678" s="148"/>
      <c r="AJ678" s="148"/>
      <c r="AK678" s="148"/>
      <c r="AL678" s="148"/>
      <c r="AM678" s="148"/>
      <c r="AN678" s="148"/>
      <c r="AO678" s="148"/>
      <c r="AP678" s="148"/>
      <c r="AQ678" s="148"/>
      <c r="AR678" s="148"/>
      <c r="AS678" s="148"/>
      <c r="AT678" s="148"/>
      <c r="AU678" s="148"/>
      <c r="AV678" s="148"/>
      <c r="AW678" s="148"/>
      <c r="AX678" s="148"/>
      <c r="AY678" s="148"/>
      <c r="AZ678" s="148"/>
      <c r="BA678" s="148"/>
      <c r="BB678" s="148"/>
      <c r="BC678" s="148"/>
    </row>
    <row r="679" spans="1:55" x14ac:dyDescent="0.2">
      <c r="A679" s="148"/>
      <c r="B679" s="148"/>
      <c r="C679" s="148"/>
      <c r="D679" s="148"/>
      <c r="E679" s="148"/>
      <c r="F679" s="148"/>
      <c r="G679" s="148"/>
      <c r="H679" s="148"/>
      <c r="I679" s="148"/>
      <c r="J679" s="148"/>
      <c r="K679" s="148"/>
      <c r="L679" s="148"/>
      <c r="M679" s="148"/>
      <c r="N679" s="148"/>
      <c r="O679" s="148"/>
      <c r="P679" s="148"/>
      <c r="Q679" s="148"/>
      <c r="R679" s="148"/>
      <c r="S679" s="148"/>
      <c r="T679" s="148"/>
      <c r="U679" s="148"/>
      <c r="V679" s="148"/>
      <c r="W679" s="148"/>
      <c r="X679" s="148"/>
      <c r="Y679" s="148"/>
      <c r="Z679" s="148"/>
      <c r="AA679" s="148"/>
      <c r="AB679" s="148"/>
      <c r="AC679" s="148"/>
      <c r="AD679" s="148"/>
      <c r="AE679" s="148"/>
      <c r="AF679" s="148"/>
      <c r="AG679" s="148"/>
      <c r="AH679" s="148"/>
      <c r="AI679" s="148"/>
      <c r="AJ679" s="148"/>
      <c r="AK679" s="148"/>
      <c r="AL679" s="148"/>
      <c r="AM679" s="148"/>
      <c r="AN679" s="148"/>
      <c r="AO679" s="148"/>
      <c r="AP679" s="148"/>
      <c r="AQ679" s="148"/>
      <c r="AR679" s="148"/>
      <c r="AS679" s="148"/>
      <c r="AT679" s="148"/>
      <c r="AU679" s="148"/>
      <c r="AV679" s="148"/>
      <c r="AW679" s="148"/>
      <c r="AX679" s="148"/>
      <c r="AY679" s="148"/>
      <c r="AZ679" s="148"/>
      <c r="BA679" s="148"/>
      <c r="BB679" s="148"/>
      <c r="BC679" s="148"/>
    </row>
    <row r="680" spans="1:55" x14ac:dyDescent="0.2">
      <c r="A680" s="148"/>
      <c r="B680" s="148"/>
      <c r="C680" s="148"/>
      <c r="D680" s="148"/>
      <c r="E680" s="148"/>
      <c r="F680" s="148"/>
      <c r="G680" s="148"/>
      <c r="H680" s="148"/>
      <c r="I680" s="148"/>
      <c r="J680" s="148"/>
      <c r="K680" s="148"/>
      <c r="L680" s="148"/>
      <c r="M680" s="148"/>
      <c r="N680" s="148"/>
      <c r="O680" s="148"/>
      <c r="P680" s="148"/>
      <c r="Q680" s="148"/>
      <c r="R680" s="148"/>
      <c r="S680" s="148"/>
      <c r="T680" s="148"/>
      <c r="U680" s="148"/>
      <c r="V680" s="148"/>
      <c r="W680" s="148"/>
      <c r="X680" s="148"/>
      <c r="Y680" s="148"/>
      <c r="Z680" s="148"/>
      <c r="AA680" s="148"/>
      <c r="AB680" s="148"/>
      <c r="AC680" s="148"/>
      <c r="AD680" s="148"/>
      <c r="AE680" s="148"/>
      <c r="AF680" s="148"/>
      <c r="AG680" s="148"/>
      <c r="AH680" s="148"/>
      <c r="AI680" s="148"/>
      <c r="AJ680" s="148"/>
      <c r="AK680" s="148"/>
      <c r="AL680" s="148"/>
      <c r="AM680" s="148"/>
      <c r="AN680" s="148"/>
      <c r="AO680" s="148"/>
      <c r="AP680" s="148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48"/>
      <c r="BC680" s="148"/>
    </row>
    <row r="681" spans="1:55" x14ac:dyDescent="0.2">
      <c r="A681" s="148"/>
      <c r="B681" s="148"/>
      <c r="C681" s="148"/>
      <c r="D681" s="148"/>
      <c r="E681" s="148"/>
      <c r="F681" s="148"/>
      <c r="G681" s="148"/>
      <c r="H681" s="148"/>
      <c r="I681" s="148"/>
      <c r="J681" s="148"/>
      <c r="K681" s="148"/>
      <c r="L681" s="148"/>
      <c r="M681" s="148"/>
      <c r="N681" s="148"/>
      <c r="O681" s="148"/>
      <c r="P681" s="148"/>
      <c r="Q681" s="148"/>
      <c r="R681" s="148"/>
      <c r="S681" s="148"/>
      <c r="T681" s="148"/>
      <c r="U681" s="148"/>
      <c r="V681" s="148"/>
      <c r="W681" s="148"/>
      <c r="X681" s="148"/>
      <c r="Y681" s="148"/>
      <c r="Z681" s="148"/>
      <c r="AA681" s="148"/>
      <c r="AB681" s="148"/>
      <c r="AC681" s="148"/>
      <c r="AD681" s="148"/>
      <c r="AE681" s="148"/>
      <c r="AF681" s="148"/>
      <c r="AG681" s="148"/>
      <c r="AH681" s="148"/>
      <c r="AI681" s="148"/>
      <c r="AJ681" s="148"/>
      <c r="AK681" s="148"/>
      <c r="AL681" s="148"/>
      <c r="AM681" s="148"/>
      <c r="AN681" s="148"/>
      <c r="AO681" s="148"/>
      <c r="AP681" s="148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48"/>
      <c r="BC681" s="148"/>
    </row>
    <row r="682" spans="1:55" x14ac:dyDescent="0.2">
      <c r="A682" s="148"/>
      <c r="B682" s="148"/>
      <c r="C682" s="148"/>
      <c r="D682" s="148"/>
      <c r="E682" s="148"/>
      <c r="F682" s="148"/>
      <c r="G682" s="148"/>
      <c r="H682" s="148"/>
      <c r="I682" s="148"/>
      <c r="J682" s="148"/>
      <c r="K682" s="148"/>
      <c r="L682" s="148"/>
      <c r="M682" s="148"/>
      <c r="N682" s="148"/>
      <c r="O682" s="148"/>
      <c r="P682" s="148"/>
      <c r="Q682" s="148"/>
      <c r="R682" s="148"/>
      <c r="S682" s="148"/>
      <c r="T682" s="148"/>
      <c r="U682" s="148"/>
      <c r="V682" s="148"/>
      <c r="W682" s="148"/>
      <c r="X682" s="148"/>
      <c r="Y682" s="148"/>
      <c r="Z682" s="148"/>
      <c r="AA682" s="148"/>
      <c r="AB682" s="148"/>
      <c r="AC682" s="148"/>
      <c r="AD682" s="148"/>
      <c r="AE682" s="148"/>
      <c r="AF682" s="148"/>
      <c r="AG682" s="148"/>
      <c r="AH682" s="148"/>
      <c r="AI682" s="148"/>
      <c r="AJ682" s="148"/>
      <c r="AK682" s="148"/>
      <c r="AL682" s="148"/>
      <c r="AM682" s="148"/>
      <c r="AN682" s="148"/>
      <c r="AO682" s="148"/>
      <c r="AP682" s="148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</row>
    <row r="683" spans="1:55" x14ac:dyDescent="0.2">
      <c r="A683" s="148"/>
      <c r="B683" s="148"/>
      <c r="C683" s="148"/>
      <c r="D683" s="148"/>
      <c r="E683" s="148"/>
      <c r="F683" s="148"/>
      <c r="G683" s="148"/>
      <c r="H683" s="148"/>
      <c r="I683" s="148"/>
      <c r="J683" s="148"/>
      <c r="K683" s="148"/>
      <c r="L683" s="148"/>
      <c r="M683" s="148"/>
      <c r="N683" s="148"/>
      <c r="O683" s="148"/>
      <c r="P683" s="148"/>
      <c r="Q683" s="148"/>
      <c r="R683" s="148"/>
      <c r="S683" s="148"/>
      <c r="T683" s="148"/>
      <c r="U683" s="148"/>
      <c r="V683" s="148"/>
      <c r="W683" s="148"/>
      <c r="X683" s="148"/>
      <c r="Y683" s="148"/>
      <c r="Z683" s="148"/>
      <c r="AA683" s="148"/>
      <c r="AB683" s="148"/>
      <c r="AC683" s="148"/>
      <c r="AD683" s="148"/>
      <c r="AE683" s="148"/>
      <c r="AF683" s="148"/>
      <c r="AG683" s="148"/>
      <c r="AH683" s="148"/>
      <c r="AI683" s="148"/>
      <c r="AJ683" s="148"/>
      <c r="AK683" s="148"/>
      <c r="AL683" s="148"/>
      <c r="AM683" s="148"/>
      <c r="AN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</row>
    <row r="684" spans="1:55" x14ac:dyDescent="0.2">
      <c r="A684" s="148"/>
      <c r="B684" s="148"/>
      <c r="C684" s="148"/>
      <c r="D684" s="148"/>
      <c r="E684" s="148"/>
      <c r="F684" s="148"/>
      <c r="G684" s="148"/>
      <c r="H684" s="148"/>
      <c r="I684" s="148"/>
      <c r="J684" s="148"/>
      <c r="K684" s="148"/>
      <c r="L684" s="148"/>
      <c r="M684" s="148"/>
      <c r="N684" s="148"/>
      <c r="O684" s="148"/>
      <c r="P684" s="148"/>
      <c r="Q684" s="148"/>
      <c r="R684" s="148"/>
      <c r="S684" s="148"/>
      <c r="T684" s="148"/>
      <c r="U684" s="148"/>
      <c r="V684" s="148"/>
      <c r="W684" s="148"/>
      <c r="X684" s="148"/>
      <c r="Y684" s="148"/>
      <c r="Z684" s="148"/>
      <c r="AA684" s="148"/>
      <c r="AB684" s="148"/>
      <c r="AC684" s="148"/>
      <c r="AD684" s="148"/>
      <c r="AE684" s="148"/>
      <c r="AF684" s="148"/>
      <c r="AG684" s="148"/>
      <c r="AH684" s="148"/>
      <c r="AI684" s="148"/>
      <c r="AJ684" s="148"/>
      <c r="AK684" s="148"/>
      <c r="AL684" s="148"/>
      <c r="AM684" s="148"/>
      <c r="AN684" s="148"/>
      <c r="AO684" s="148"/>
      <c r="AP684" s="148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</row>
    <row r="685" spans="1:55" x14ac:dyDescent="0.2">
      <c r="A685" s="148"/>
      <c r="B685" s="148"/>
      <c r="C685" s="148"/>
      <c r="D685" s="148"/>
      <c r="E685" s="148"/>
      <c r="F685" s="148"/>
      <c r="G685" s="148"/>
      <c r="H685" s="148"/>
      <c r="I685" s="148"/>
      <c r="J685" s="148"/>
      <c r="K685" s="148"/>
      <c r="L685" s="148"/>
      <c r="M685" s="148"/>
      <c r="N685" s="148"/>
      <c r="O685" s="148"/>
      <c r="P685" s="148"/>
      <c r="Q685" s="148"/>
      <c r="R685" s="148"/>
      <c r="S685" s="148"/>
      <c r="T685" s="148"/>
      <c r="U685" s="148"/>
      <c r="V685" s="148"/>
      <c r="W685" s="148"/>
      <c r="X685" s="148"/>
      <c r="Y685" s="148"/>
      <c r="Z685" s="148"/>
      <c r="AA685" s="148"/>
      <c r="AB685" s="148"/>
      <c r="AC685" s="148"/>
      <c r="AD685" s="148"/>
      <c r="AE685" s="148"/>
      <c r="AF685" s="148"/>
      <c r="AG685" s="148"/>
      <c r="AH685" s="148"/>
      <c r="AI685" s="148"/>
      <c r="AJ685" s="148"/>
      <c r="AK685" s="148"/>
      <c r="AL685" s="148"/>
      <c r="AM685" s="148"/>
      <c r="AN685" s="148"/>
      <c r="AO685" s="148"/>
      <c r="AP685" s="148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</row>
    <row r="686" spans="1:55" x14ac:dyDescent="0.2">
      <c r="A686" s="148"/>
      <c r="B686" s="148"/>
      <c r="C686" s="148"/>
      <c r="D686" s="148"/>
      <c r="E686" s="148"/>
      <c r="F686" s="148"/>
      <c r="G686" s="148"/>
      <c r="H686" s="148"/>
      <c r="I686" s="148"/>
      <c r="J686" s="148"/>
      <c r="K686" s="148"/>
      <c r="L686" s="148"/>
      <c r="M686" s="148"/>
      <c r="N686" s="148"/>
      <c r="O686" s="148"/>
      <c r="P686" s="148"/>
      <c r="Q686" s="148"/>
      <c r="R686" s="148"/>
      <c r="S686" s="148"/>
      <c r="T686" s="148"/>
      <c r="U686" s="148"/>
      <c r="V686" s="148"/>
      <c r="W686" s="148"/>
      <c r="X686" s="148"/>
      <c r="Y686" s="148"/>
      <c r="Z686" s="148"/>
      <c r="AA686" s="148"/>
      <c r="AB686" s="148"/>
      <c r="AC686" s="148"/>
      <c r="AD686" s="148"/>
      <c r="AE686" s="148"/>
      <c r="AF686" s="148"/>
      <c r="AG686" s="148"/>
      <c r="AH686" s="148"/>
      <c r="AI686" s="148"/>
      <c r="AJ686" s="148"/>
      <c r="AK686" s="148"/>
      <c r="AL686" s="148"/>
      <c r="AM686" s="148"/>
      <c r="AN686" s="148"/>
      <c r="AO686" s="148"/>
      <c r="AP686" s="148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</row>
    <row r="687" spans="1:55" x14ac:dyDescent="0.2">
      <c r="A687" s="148"/>
      <c r="B687" s="148"/>
      <c r="C687" s="148"/>
      <c r="D687" s="148"/>
      <c r="E687" s="148"/>
      <c r="F687" s="148"/>
      <c r="G687" s="148"/>
      <c r="H687" s="148"/>
      <c r="I687" s="148"/>
      <c r="J687" s="148"/>
      <c r="K687" s="148"/>
      <c r="L687" s="148"/>
      <c r="M687" s="148"/>
      <c r="N687" s="148"/>
      <c r="O687" s="148"/>
      <c r="P687" s="148"/>
      <c r="Q687" s="148"/>
      <c r="R687" s="148"/>
      <c r="S687" s="148"/>
      <c r="T687" s="148"/>
      <c r="U687" s="148"/>
      <c r="V687" s="148"/>
      <c r="W687" s="148"/>
      <c r="X687" s="148"/>
      <c r="Y687" s="148"/>
      <c r="Z687" s="148"/>
      <c r="AA687" s="148"/>
      <c r="AB687" s="148"/>
      <c r="AC687" s="148"/>
      <c r="AD687" s="148"/>
      <c r="AE687" s="148"/>
      <c r="AF687" s="148"/>
      <c r="AG687" s="148"/>
      <c r="AH687" s="148"/>
      <c r="AI687" s="148"/>
      <c r="AJ687" s="148"/>
      <c r="AK687" s="148"/>
      <c r="AL687" s="148"/>
      <c r="AM687" s="148"/>
      <c r="AN687" s="148"/>
      <c r="AO687" s="148"/>
      <c r="AP687" s="148"/>
      <c r="AQ687" s="148"/>
      <c r="AR687" s="148"/>
      <c r="AS687" s="148"/>
      <c r="AT687" s="148"/>
      <c r="AU687" s="148"/>
      <c r="AV687" s="148"/>
      <c r="AW687" s="148"/>
      <c r="AX687" s="148"/>
      <c r="AY687" s="148"/>
      <c r="AZ687" s="148"/>
      <c r="BA687" s="148"/>
      <c r="BB687" s="148"/>
      <c r="BC687" s="148"/>
    </row>
    <row r="688" spans="1:55" x14ac:dyDescent="0.2">
      <c r="A688" s="148"/>
      <c r="B688" s="148"/>
      <c r="C688" s="148"/>
      <c r="D688" s="148"/>
      <c r="E688" s="148"/>
      <c r="F688" s="148"/>
      <c r="G688" s="148"/>
      <c r="H688" s="148"/>
      <c r="I688" s="148"/>
      <c r="J688" s="148"/>
      <c r="K688" s="148"/>
      <c r="L688" s="148"/>
      <c r="M688" s="148"/>
      <c r="N688" s="148"/>
      <c r="O688" s="148"/>
      <c r="P688" s="148"/>
      <c r="Q688" s="148"/>
      <c r="R688" s="148"/>
      <c r="S688" s="148"/>
      <c r="T688" s="148"/>
      <c r="U688" s="148"/>
      <c r="V688" s="148"/>
      <c r="W688" s="148"/>
      <c r="X688" s="148"/>
      <c r="Y688" s="148"/>
      <c r="Z688" s="148"/>
      <c r="AA688" s="148"/>
      <c r="AB688" s="148"/>
      <c r="AC688" s="148"/>
      <c r="AD688" s="148"/>
      <c r="AE688" s="148"/>
      <c r="AF688" s="148"/>
      <c r="AG688" s="148"/>
      <c r="AH688" s="148"/>
      <c r="AI688" s="148"/>
      <c r="AJ688" s="148"/>
      <c r="AK688" s="148"/>
      <c r="AL688" s="148"/>
      <c r="AM688" s="148"/>
      <c r="AN688" s="148"/>
      <c r="AO688" s="148"/>
      <c r="AP688" s="148"/>
      <c r="AQ688" s="148"/>
      <c r="AR688" s="148"/>
      <c r="AS688" s="148"/>
      <c r="AT688" s="148"/>
      <c r="AU688" s="148"/>
      <c r="AV688" s="148"/>
      <c r="AW688" s="148"/>
      <c r="AX688" s="148"/>
      <c r="AY688" s="148"/>
      <c r="AZ688" s="148"/>
      <c r="BA688" s="148"/>
      <c r="BB688" s="148"/>
      <c r="BC688" s="148"/>
    </row>
    <row r="689" spans="1:55" x14ac:dyDescent="0.2">
      <c r="A689" s="148"/>
      <c r="B689" s="148"/>
      <c r="C689" s="148"/>
      <c r="D689" s="148"/>
      <c r="E689" s="148"/>
      <c r="F689" s="148"/>
      <c r="G689" s="148"/>
      <c r="H689" s="148"/>
      <c r="I689" s="148"/>
      <c r="J689" s="148"/>
      <c r="K689" s="148"/>
      <c r="L689" s="148"/>
      <c r="M689" s="148"/>
      <c r="N689" s="148"/>
      <c r="O689" s="148"/>
      <c r="P689" s="148"/>
      <c r="Q689" s="148"/>
      <c r="R689" s="148"/>
      <c r="S689" s="148"/>
      <c r="T689" s="148"/>
      <c r="U689" s="148"/>
      <c r="V689" s="148"/>
      <c r="W689" s="148"/>
      <c r="X689" s="148"/>
      <c r="Y689" s="148"/>
      <c r="Z689" s="148"/>
      <c r="AA689" s="148"/>
      <c r="AB689" s="148"/>
      <c r="AC689" s="148"/>
      <c r="AD689" s="148"/>
      <c r="AE689" s="148"/>
      <c r="AF689" s="148"/>
      <c r="AG689" s="148"/>
      <c r="AH689" s="148"/>
      <c r="AI689" s="148"/>
      <c r="AJ689" s="148"/>
      <c r="AK689" s="148"/>
      <c r="AL689" s="148"/>
      <c r="AM689" s="148"/>
      <c r="AN689" s="148"/>
      <c r="AO689" s="148"/>
      <c r="AP689" s="148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</row>
    <row r="690" spans="1:55" x14ac:dyDescent="0.2">
      <c r="A690" s="148"/>
      <c r="B690" s="148"/>
      <c r="C690" s="148"/>
      <c r="D690" s="148"/>
      <c r="E690" s="148"/>
      <c r="F690" s="148"/>
      <c r="G690" s="148"/>
      <c r="H690" s="148"/>
      <c r="I690" s="148"/>
      <c r="J690" s="148"/>
      <c r="K690" s="148"/>
      <c r="L690" s="148"/>
      <c r="M690" s="148"/>
      <c r="N690" s="148"/>
      <c r="O690" s="148"/>
      <c r="P690" s="148"/>
      <c r="Q690" s="148"/>
      <c r="R690" s="148"/>
      <c r="S690" s="148"/>
      <c r="T690" s="148"/>
      <c r="U690" s="148"/>
      <c r="V690" s="148"/>
      <c r="W690" s="148"/>
      <c r="X690" s="148"/>
      <c r="Y690" s="148"/>
      <c r="Z690" s="148"/>
      <c r="AA690" s="148"/>
      <c r="AB690" s="148"/>
      <c r="AC690" s="148"/>
      <c r="AD690" s="148"/>
      <c r="AE690" s="148"/>
      <c r="AF690" s="148"/>
      <c r="AG690" s="148"/>
      <c r="AH690" s="148"/>
      <c r="AI690" s="148"/>
      <c r="AJ690" s="148"/>
      <c r="AK690" s="148"/>
      <c r="AL690" s="148"/>
      <c r="AM690" s="148"/>
      <c r="AN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</row>
    <row r="691" spans="1:55" x14ac:dyDescent="0.2">
      <c r="A691" s="148"/>
      <c r="B691" s="148"/>
      <c r="C691" s="148"/>
      <c r="D691" s="148"/>
      <c r="E691" s="148"/>
      <c r="F691" s="148"/>
      <c r="G691" s="148"/>
      <c r="H691" s="148"/>
      <c r="I691" s="148"/>
      <c r="J691" s="148"/>
      <c r="K691" s="148"/>
      <c r="L691" s="148"/>
      <c r="M691" s="148"/>
      <c r="N691" s="148"/>
      <c r="O691" s="148"/>
      <c r="P691" s="148"/>
      <c r="Q691" s="148"/>
      <c r="R691" s="148"/>
      <c r="S691" s="148"/>
      <c r="T691" s="148"/>
      <c r="U691" s="148"/>
      <c r="V691" s="148"/>
      <c r="W691" s="148"/>
      <c r="X691" s="148"/>
      <c r="Y691" s="148"/>
      <c r="Z691" s="148"/>
      <c r="AA691" s="148"/>
      <c r="AB691" s="148"/>
      <c r="AC691" s="148"/>
      <c r="AD691" s="148"/>
      <c r="AE691" s="148"/>
      <c r="AF691" s="148"/>
      <c r="AG691" s="148"/>
      <c r="AH691" s="148"/>
      <c r="AI691" s="148"/>
      <c r="AJ691" s="148"/>
      <c r="AK691" s="148"/>
      <c r="AL691" s="148"/>
      <c r="AM691" s="148"/>
      <c r="AN691" s="148"/>
      <c r="AO691" s="148"/>
      <c r="AP691" s="148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48"/>
      <c r="BC691" s="148"/>
    </row>
    <row r="692" spans="1:55" x14ac:dyDescent="0.2">
      <c r="A692" s="148"/>
      <c r="B692" s="148"/>
      <c r="C692" s="148"/>
      <c r="D692" s="148"/>
      <c r="E692" s="148"/>
      <c r="F692" s="148"/>
      <c r="G692" s="148"/>
      <c r="H692" s="148"/>
      <c r="I692" s="148"/>
      <c r="J692" s="148"/>
      <c r="K692" s="148"/>
      <c r="L692" s="148"/>
      <c r="M692" s="148"/>
      <c r="N692" s="148"/>
      <c r="O692" s="148"/>
      <c r="P692" s="148"/>
      <c r="Q692" s="148"/>
      <c r="R692" s="148"/>
      <c r="S692" s="148"/>
      <c r="T692" s="148"/>
      <c r="U692" s="148"/>
      <c r="V692" s="148"/>
      <c r="W692" s="148"/>
      <c r="X692" s="148"/>
      <c r="Y692" s="148"/>
      <c r="Z692" s="148"/>
      <c r="AA692" s="148"/>
      <c r="AB692" s="148"/>
      <c r="AC692" s="148"/>
      <c r="AD692" s="148"/>
      <c r="AE692" s="148"/>
      <c r="AF692" s="148"/>
      <c r="AG692" s="148"/>
      <c r="AH692" s="148"/>
      <c r="AI692" s="148"/>
      <c r="AJ692" s="148"/>
      <c r="AK692" s="148"/>
      <c r="AL692" s="148"/>
      <c r="AM692" s="148"/>
      <c r="AN692" s="148"/>
      <c r="AO692" s="148"/>
      <c r="AP692" s="148"/>
      <c r="AQ692" s="148"/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48"/>
      <c r="BC692" s="148"/>
    </row>
    <row r="693" spans="1:55" x14ac:dyDescent="0.2">
      <c r="A693" s="148"/>
      <c r="B693" s="148"/>
      <c r="C693" s="148"/>
      <c r="D693" s="148"/>
      <c r="E693" s="148"/>
      <c r="F693" s="148"/>
      <c r="G693" s="148"/>
      <c r="H693" s="148"/>
      <c r="I693" s="148"/>
      <c r="J693" s="148"/>
      <c r="K693" s="148"/>
      <c r="L693" s="148"/>
      <c r="M693" s="148"/>
      <c r="N693" s="148"/>
      <c r="O693" s="148"/>
      <c r="P693" s="148"/>
      <c r="Q693" s="148"/>
      <c r="R693" s="148"/>
      <c r="S693" s="148"/>
      <c r="T693" s="148"/>
      <c r="U693" s="148"/>
      <c r="V693" s="148"/>
      <c r="W693" s="148"/>
      <c r="X693" s="148"/>
      <c r="Y693" s="148"/>
      <c r="Z693" s="148"/>
      <c r="AA693" s="148"/>
      <c r="AB693" s="148"/>
      <c r="AC693" s="148"/>
      <c r="AD693" s="148"/>
      <c r="AE693" s="148"/>
      <c r="AF693" s="148"/>
      <c r="AG693" s="148"/>
      <c r="AH693" s="148"/>
      <c r="AI693" s="148"/>
      <c r="AJ693" s="148"/>
      <c r="AK693" s="148"/>
      <c r="AL693" s="148"/>
      <c r="AM693" s="148"/>
      <c r="AN693" s="148"/>
      <c r="AO693" s="148"/>
      <c r="AP693" s="148"/>
      <c r="AQ693" s="148"/>
      <c r="AR693" s="148"/>
      <c r="AS693" s="148"/>
      <c r="AT693" s="148"/>
      <c r="AU693" s="148"/>
      <c r="AV693" s="148"/>
      <c r="AW693" s="148"/>
      <c r="AX693" s="148"/>
      <c r="AY693" s="148"/>
      <c r="AZ693" s="148"/>
      <c r="BA693" s="148"/>
      <c r="BB693" s="148"/>
      <c r="BC693" s="148"/>
    </row>
    <row r="694" spans="1:55" x14ac:dyDescent="0.2">
      <c r="A694" s="148"/>
      <c r="B694" s="148"/>
      <c r="C694" s="148"/>
      <c r="D694" s="148"/>
      <c r="E694" s="148"/>
      <c r="F694" s="148"/>
      <c r="G694" s="148"/>
      <c r="H694" s="148"/>
      <c r="I694" s="148"/>
      <c r="J694" s="148"/>
      <c r="K694" s="148"/>
      <c r="L694" s="148"/>
      <c r="M694" s="148"/>
      <c r="N694" s="148"/>
      <c r="O694" s="148"/>
      <c r="P694" s="148"/>
      <c r="Q694" s="148"/>
      <c r="R694" s="148"/>
      <c r="S694" s="148"/>
      <c r="T694" s="148"/>
      <c r="U694" s="148"/>
      <c r="V694" s="148"/>
      <c r="W694" s="148"/>
      <c r="X694" s="148"/>
      <c r="Y694" s="148"/>
      <c r="Z694" s="148"/>
      <c r="AA694" s="148"/>
      <c r="AB694" s="148"/>
      <c r="AC694" s="148"/>
      <c r="AD694" s="148"/>
      <c r="AE694" s="148"/>
      <c r="AF694" s="148"/>
      <c r="AG694" s="148"/>
      <c r="AH694" s="148"/>
      <c r="AI694" s="148"/>
      <c r="AJ694" s="148"/>
      <c r="AK694" s="148"/>
      <c r="AL694" s="148"/>
      <c r="AM694" s="148"/>
      <c r="AN694" s="148"/>
      <c r="AO694" s="148"/>
      <c r="AP694" s="148"/>
      <c r="AQ694" s="148"/>
      <c r="AR694" s="148"/>
      <c r="AS694" s="148"/>
      <c r="AT694" s="148"/>
      <c r="AU694" s="148"/>
      <c r="AV694" s="148"/>
      <c r="AW694" s="148"/>
      <c r="AX694" s="148"/>
      <c r="AY694" s="148"/>
      <c r="AZ694" s="148"/>
      <c r="BA694" s="148"/>
      <c r="BB694" s="148"/>
      <c r="BC694" s="148"/>
    </row>
    <row r="695" spans="1:55" x14ac:dyDescent="0.2">
      <c r="A695" s="148"/>
      <c r="B695" s="148"/>
      <c r="C695" s="148"/>
      <c r="D695" s="148"/>
      <c r="E695" s="148"/>
      <c r="F695" s="148"/>
      <c r="G695" s="148"/>
      <c r="H695" s="148"/>
      <c r="I695" s="148"/>
      <c r="J695" s="148"/>
      <c r="K695" s="148"/>
      <c r="L695" s="148"/>
      <c r="M695" s="148"/>
      <c r="N695" s="148"/>
      <c r="O695" s="148"/>
      <c r="P695" s="148"/>
      <c r="Q695" s="148"/>
      <c r="R695" s="148"/>
      <c r="S695" s="148"/>
      <c r="T695" s="148"/>
      <c r="U695" s="148"/>
      <c r="V695" s="148"/>
      <c r="W695" s="148"/>
      <c r="X695" s="148"/>
      <c r="Y695" s="148"/>
      <c r="Z695" s="148"/>
      <c r="AA695" s="148"/>
      <c r="AB695" s="148"/>
      <c r="AC695" s="148"/>
      <c r="AD695" s="148"/>
      <c r="AE695" s="148"/>
      <c r="AF695" s="148"/>
      <c r="AG695" s="148"/>
      <c r="AH695" s="148"/>
      <c r="AI695" s="148"/>
      <c r="AJ695" s="148"/>
      <c r="AK695" s="148"/>
      <c r="AL695" s="148"/>
      <c r="AM695" s="148"/>
      <c r="AN695" s="148"/>
      <c r="AO695" s="148"/>
      <c r="AP695" s="148"/>
      <c r="AQ695" s="148"/>
      <c r="AR695" s="148"/>
      <c r="AS695" s="148"/>
      <c r="AT695" s="148"/>
      <c r="AU695" s="148"/>
      <c r="AV695" s="148"/>
      <c r="AW695" s="148"/>
      <c r="AX695" s="148"/>
      <c r="AY695" s="148"/>
      <c r="AZ695" s="148"/>
      <c r="BA695" s="148"/>
      <c r="BB695" s="148"/>
      <c r="BC695" s="148"/>
    </row>
    <row r="696" spans="1:55" x14ac:dyDescent="0.2">
      <c r="A696" s="148"/>
      <c r="B696" s="148"/>
      <c r="C696" s="148"/>
      <c r="D696" s="148"/>
      <c r="E696" s="148"/>
      <c r="F696" s="148"/>
      <c r="G696" s="148"/>
      <c r="H696" s="148"/>
      <c r="I696" s="148"/>
      <c r="J696" s="148"/>
      <c r="K696" s="148"/>
      <c r="L696" s="148"/>
      <c r="M696" s="148"/>
      <c r="N696" s="148"/>
      <c r="O696" s="148"/>
      <c r="P696" s="148"/>
      <c r="Q696" s="148"/>
      <c r="R696" s="148"/>
      <c r="S696" s="148"/>
      <c r="T696" s="148"/>
      <c r="U696" s="148"/>
      <c r="V696" s="148"/>
      <c r="W696" s="148"/>
      <c r="X696" s="148"/>
      <c r="Y696" s="148"/>
      <c r="Z696" s="148"/>
      <c r="AA696" s="148"/>
      <c r="AB696" s="148"/>
      <c r="AC696" s="148"/>
      <c r="AD696" s="148"/>
      <c r="AE696" s="148"/>
      <c r="AF696" s="148"/>
      <c r="AG696" s="148"/>
      <c r="AH696" s="148"/>
      <c r="AI696" s="148"/>
      <c r="AJ696" s="148"/>
      <c r="AK696" s="148"/>
      <c r="AL696" s="148"/>
      <c r="AM696" s="148"/>
      <c r="AN696" s="148"/>
      <c r="AO696" s="148"/>
      <c r="AP696" s="148"/>
      <c r="AQ696" s="148"/>
      <c r="AR696" s="148"/>
      <c r="AS696" s="148"/>
      <c r="AT696" s="148"/>
      <c r="AU696" s="148"/>
      <c r="AV696" s="148"/>
      <c r="AW696" s="148"/>
      <c r="AX696" s="148"/>
      <c r="AY696" s="148"/>
      <c r="AZ696" s="148"/>
      <c r="BA696" s="148"/>
      <c r="BB696" s="148"/>
      <c r="BC696" s="148"/>
    </row>
    <row r="697" spans="1:55" x14ac:dyDescent="0.2">
      <c r="A697" s="148"/>
      <c r="B697" s="148"/>
      <c r="C697" s="148"/>
      <c r="D697" s="148"/>
      <c r="E697" s="148"/>
      <c r="F697" s="148"/>
      <c r="G697" s="148"/>
      <c r="H697" s="148"/>
      <c r="I697" s="148"/>
      <c r="J697" s="148"/>
      <c r="K697" s="148"/>
      <c r="L697" s="148"/>
      <c r="M697" s="148"/>
      <c r="N697" s="148"/>
      <c r="O697" s="148"/>
      <c r="P697" s="148"/>
      <c r="Q697" s="148"/>
      <c r="R697" s="148"/>
      <c r="S697" s="148"/>
      <c r="T697" s="148"/>
      <c r="U697" s="148"/>
      <c r="V697" s="148"/>
      <c r="W697" s="148"/>
      <c r="X697" s="148"/>
      <c r="Y697" s="148"/>
      <c r="Z697" s="148"/>
      <c r="AA697" s="148"/>
      <c r="AB697" s="148"/>
      <c r="AC697" s="148"/>
      <c r="AD697" s="148"/>
      <c r="AE697" s="148"/>
      <c r="AF697" s="148"/>
      <c r="AG697" s="148"/>
      <c r="AH697" s="148"/>
      <c r="AI697" s="148"/>
      <c r="AJ697" s="148"/>
      <c r="AK697" s="148"/>
      <c r="AL697" s="148"/>
      <c r="AM697" s="148"/>
      <c r="AN697" s="148"/>
      <c r="AO697" s="148"/>
      <c r="AP697" s="148"/>
      <c r="AQ697" s="148"/>
      <c r="AR697" s="148"/>
      <c r="AS697" s="148"/>
      <c r="AT697" s="148"/>
      <c r="AU697" s="148"/>
      <c r="AV697" s="148"/>
      <c r="AW697" s="148"/>
      <c r="AX697" s="148"/>
      <c r="AY697" s="148"/>
      <c r="AZ697" s="148"/>
      <c r="BA697" s="148"/>
      <c r="BB697" s="148"/>
      <c r="BC697" s="148"/>
    </row>
    <row r="698" spans="1:55" x14ac:dyDescent="0.2">
      <c r="A698" s="148"/>
      <c r="B698" s="148"/>
      <c r="C698" s="148"/>
      <c r="D698" s="148"/>
      <c r="E698" s="148"/>
      <c r="F698" s="148"/>
      <c r="G698" s="148"/>
      <c r="H698" s="148"/>
      <c r="I698" s="148"/>
      <c r="J698" s="148"/>
      <c r="K698" s="148"/>
      <c r="L698" s="148"/>
      <c r="M698" s="148"/>
      <c r="N698" s="148"/>
      <c r="O698" s="148"/>
      <c r="P698" s="148"/>
      <c r="Q698" s="148"/>
      <c r="R698" s="148"/>
      <c r="S698" s="148"/>
      <c r="T698" s="148"/>
      <c r="U698" s="148"/>
      <c r="V698" s="148"/>
      <c r="W698" s="148"/>
      <c r="X698" s="148"/>
      <c r="Y698" s="148"/>
      <c r="Z698" s="148"/>
      <c r="AA698" s="148"/>
      <c r="AB698" s="148"/>
      <c r="AC698" s="148"/>
      <c r="AD698" s="148"/>
      <c r="AE698" s="148"/>
      <c r="AF698" s="148"/>
      <c r="AG698" s="148"/>
      <c r="AH698" s="148"/>
      <c r="AI698" s="148"/>
      <c r="AJ698" s="148"/>
      <c r="AK698" s="148"/>
      <c r="AL698" s="148"/>
      <c r="AM698" s="148"/>
      <c r="AN698" s="148"/>
      <c r="AO698" s="148"/>
      <c r="AP698" s="148"/>
      <c r="AQ698" s="148"/>
      <c r="AR698" s="148"/>
      <c r="AS698" s="148"/>
      <c r="AT698" s="148"/>
      <c r="AU698" s="148"/>
      <c r="AV698" s="148"/>
      <c r="AW698" s="148"/>
      <c r="AX698" s="148"/>
      <c r="AY698" s="148"/>
      <c r="AZ698" s="148"/>
      <c r="BA698" s="148"/>
      <c r="BB698" s="148"/>
      <c r="BC698" s="148"/>
    </row>
    <row r="699" spans="1:55" x14ac:dyDescent="0.2">
      <c r="A699" s="148"/>
      <c r="B699" s="148"/>
      <c r="C699" s="148"/>
      <c r="D699" s="148"/>
      <c r="E699" s="148"/>
      <c r="F699" s="148"/>
      <c r="G699" s="148"/>
      <c r="H699" s="148"/>
      <c r="I699" s="148"/>
      <c r="J699" s="148"/>
      <c r="K699" s="148"/>
      <c r="L699" s="148"/>
      <c r="M699" s="148"/>
      <c r="N699" s="148"/>
      <c r="O699" s="148"/>
      <c r="P699" s="148"/>
      <c r="Q699" s="148"/>
      <c r="R699" s="148"/>
      <c r="S699" s="148"/>
      <c r="T699" s="148"/>
      <c r="U699" s="148"/>
      <c r="V699" s="148"/>
      <c r="W699" s="148"/>
      <c r="X699" s="148"/>
      <c r="Y699" s="148"/>
      <c r="Z699" s="148"/>
      <c r="AA699" s="148"/>
      <c r="AB699" s="148"/>
      <c r="AC699" s="148"/>
      <c r="AD699" s="148"/>
      <c r="AE699" s="148"/>
      <c r="AF699" s="148"/>
      <c r="AG699" s="148"/>
      <c r="AH699" s="148"/>
      <c r="AI699" s="148"/>
      <c r="AJ699" s="148"/>
      <c r="AK699" s="148"/>
      <c r="AL699" s="148"/>
      <c r="AM699" s="148"/>
      <c r="AN699" s="148"/>
      <c r="AO699" s="148"/>
      <c r="AP699" s="148"/>
      <c r="AQ699" s="148"/>
      <c r="AR699" s="148"/>
      <c r="AS699" s="148"/>
      <c r="AT699" s="148"/>
      <c r="AU699" s="148"/>
      <c r="AV699" s="148"/>
      <c r="AW699" s="148"/>
      <c r="AX699" s="148"/>
      <c r="AY699" s="148"/>
      <c r="AZ699" s="148"/>
      <c r="BA699" s="148"/>
      <c r="BB699" s="148"/>
      <c r="BC699" s="148"/>
    </row>
    <row r="700" spans="1:55" x14ac:dyDescent="0.2">
      <c r="A700" s="148"/>
      <c r="B700" s="148"/>
      <c r="C700" s="148"/>
      <c r="D700" s="148"/>
      <c r="E700" s="148"/>
      <c r="F700" s="148"/>
      <c r="G700" s="148"/>
      <c r="H700" s="148"/>
      <c r="I700" s="148"/>
      <c r="J700" s="148"/>
      <c r="K700" s="148"/>
      <c r="L700" s="148"/>
      <c r="M700" s="148"/>
      <c r="N700" s="148"/>
      <c r="O700" s="148"/>
      <c r="P700" s="148"/>
      <c r="Q700" s="148"/>
      <c r="R700" s="148"/>
      <c r="S700" s="148"/>
      <c r="T700" s="148"/>
      <c r="U700" s="148"/>
      <c r="V700" s="148"/>
      <c r="W700" s="148"/>
      <c r="X700" s="148"/>
      <c r="Y700" s="148"/>
      <c r="Z700" s="148"/>
      <c r="AA700" s="148"/>
      <c r="AB700" s="148"/>
      <c r="AC700" s="148"/>
      <c r="AD700" s="148"/>
      <c r="AE700" s="148"/>
      <c r="AF700" s="148"/>
      <c r="AG700" s="148"/>
      <c r="AH700" s="148"/>
      <c r="AI700" s="148"/>
      <c r="AJ700" s="148"/>
      <c r="AK700" s="148"/>
      <c r="AL700" s="148"/>
      <c r="AM700" s="148"/>
      <c r="AN700" s="148"/>
      <c r="AO700" s="148"/>
      <c r="AP700" s="148"/>
      <c r="AQ700" s="148"/>
      <c r="AR700" s="148"/>
      <c r="AS700" s="148"/>
      <c r="AT700" s="148"/>
      <c r="AU700" s="148"/>
      <c r="AV700" s="148"/>
      <c r="AW700" s="148"/>
      <c r="AX700" s="148"/>
      <c r="AY700" s="148"/>
      <c r="AZ700" s="148"/>
      <c r="BA700" s="148"/>
      <c r="BB700" s="148"/>
      <c r="BC700" s="148"/>
    </row>
    <row r="701" spans="1:55" x14ac:dyDescent="0.2">
      <c r="A701" s="148"/>
      <c r="B701" s="148"/>
      <c r="C701" s="148"/>
      <c r="D701" s="148"/>
      <c r="E701" s="148"/>
      <c r="F701" s="148"/>
      <c r="G701" s="148"/>
      <c r="H701" s="148"/>
      <c r="I701" s="148"/>
      <c r="J701" s="148"/>
      <c r="K701" s="148"/>
      <c r="L701" s="148"/>
      <c r="M701" s="148"/>
      <c r="N701" s="148"/>
      <c r="O701" s="148"/>
      <c r="P701" s="148"/>
      <c r="Q701" s="148"/>
      <c r="R701" s="148"/>
      <c r="S701" s="148"/>
      <c r="T701" s="148"/>
      <c r="U701" s="148"/>
      <c r="V701" s="148"/>
      <c r="W701" s="148"/>
      <c r="X701" s="148"/>
      <c r="Y701" s="148"/>
      <c r="Z701" s="148"/>
      <c r="AA701" s="148"/>
      <c r="AB701" s="148"/>
      <c r="AC701" s="148"/>
      <c r="AD701" s="148"/>
      <c r="AE701" s="148"/>
      <c r="AF701" s="148"/>
      <c r="AG701" s="148"/>
      <c r="AH701" s="148"/>
      <c r="AI701" s="148"/>
      <c r="AJ701" s="148"/>
      <c r="AK701" s="148"/>
      <c r="AL701" s="148"/>
      <c r="AM701" s="148"/>
      <c r="AN701" s="148"/>
      <c r="AO701" s="148"/>
      <c r="AP701" s="148"/>
      <c r="AQ701" s="148"/>
      <c r="AR701" s="148"/>
      <c r="AS701" s="148"/>
      <c r="AT701" s="148"/>
      <c r="AU701" s="148"/>
      <c r="AV701" s="148"/>
      <c r="AW701" s="148"/>
      <c r="AX701" s="148"/>
      <c r="AY701" s="148"/>
      <c r="AZ701" s="148"/>
      <c r="BA701" s="148"/>
      <c r="BB701" s="148"/>
      <c r="BC701" s="148"/>
    </row>
    <row r="702" spans="1:55" x14ac:dyDescent="0.2">
      <c r="A702" s="148"/>
      <c r="B702" s="148"/>
      <c r="C702" s="148"/>
      <c r="D702" s="148"/>
      <c r="E702" s="148"/>
      <c r="F702" s="148"/>
      <c r="G702" s="148"/>
      <c r="H702" s="148"/>
      <c r="I702" s="148"/>
      <c r="J702" s="148"/>
      <c r="K702" s="148"/>
      <c r="L702" s="148"/>
      <c r="M702" s="148"/>
      <c r="N702" s="148"/>
      <c r="O702" s="148"/>
      <c r="P702" s="148"/>
      <c r="Q702" s="148"/>
      <c r="R702" s="148"/>
      <c r="S702" s="148"/>
      <c r="T702" s="148"/>
      <c r="U702" s="148"/>
      <c r="V702" s="148"/>
      <c r="W702" s="148"/>
      <c r="X702" s="148"/>
      <c r="Y702" s="148"/>
      <c r="Z702" s="148"/>
      <c r="AA702" s="148"/>
      <c r="AB702" s="148"/>
      <c r="AC702" s="148"/>
      <c r="AD702" s="148"/>
      <c r="AE702" s="148"/>
      <c r="AF702" s="148"/>
      <c r="AG702" s="148"/>
      <c r="AH702" s="148"/>
      <c r="AI702" s="148"/>
      <c r="AJ702" s="148"/>
      <c r="AK702" s="148"/>
      <c r="AL702" s="148"/>
      <c r="AM702" s="148"/>
      <c r="AN702" s="148"/>
      <c r="AO702" s="148"/>
      <c r="AP702" s="148"/>
      <c r="AQ702" s="148"/>
      <c r="AR702" s="148"/>
      <c r="AS702" s="148"/>
      <c r="AT702" s="148"/>
      <c r="AU702" s="148"/>
      <c r="AV702" s="148"/>
      <c r="AW702" s="148"/>
      <c r="AX702" s="148"/>
      <c r="AY702" s="148"/>
      <c r="AZ702" s="148"/>
      <c r="BA702" s="148"/>
      <c r="BB702" s="148"/>
      <c r="BC702" s="148"/>
    </row>
    <row r="703" spans="1:55" x14ac:dyDescent="0.2">
      <c r="A703" s="148"/>
      <c r="B703" s="148"/>
      <c r="C703" s="148"/>
      <c r="D703" s="148"/>
      <c r="E703" s="148"/>
      <c r="F703" s="148"/>
      <c r="G703" s="148"/>
      <c r="H703" s="148"/>
      <c r="I703" s="148"/>
      <c r="J703" s="148"/>
      <c r="K703" s="148"/>
      <c r="L703" s="148"/>
      <c r="M703" s="148"/>
      <c r="N703" s="148"/>
      <c r="O703" s="148"/>
      <c r="P703" s="148"/>
      <c r="Q703" s="148"/>
      <c r="R703" s="148"/>
      <c r="S703" s="148"/>
      <c r="T703" s="148"/>
      <c r="U703" s="148"/>
      <c r="V703" s="148"/>
      <c r="W703" s="148"/>
      <c r="X703" s="148"/>
      <c r="Y703" s="148"/>
      <c r="Z703" s="148"/>
      <c r="AA703" s="148"/>
      <c r="AB703" s="148"/>
      <c r="AC703" s="148"/>
      <c r="AD703" s="148"/>
      <c r="AE703" s="148"/>
      <c r="AF703" s="148"/>
      <c r="AG703" s="148"/>
      <c r="AH703" s="148"/>
      <c r="AI703" s="148"/>
      <c r="AJ703" s="148"/>
      <c r="AK703" s="148"/>
      <c r="AL703" s="148"/>
      <c r="AM703" s="148"/>
      <c r="AN703" s="148"/>
      <c r="AO703" s="148"/>
      <c r="AP703" s="148"/>
      <c r="AQ703" s="148"/>
      <c r="AR703" s="148"/>
      <c r="AS703" s="148"/>
      <c r="AT703" s="148"/>
      <c r="AU703" s="148"/>
      <c r="AV703" s="148"/>
      <c r="AW703" s="148"/>
      <c r="AX703" s="148"/>
      <c r="AY703" s="148"/>
      <c r="AZ703" s="148"/>
      <c r="BA703" s="148"/>
      <c r="BB703" s="148"/>
      <c r="BC703" s="148"/>
    </row>
    <row r="704" spans="1:55" x14ac:dyDescent="0.2">
      <c r="A704" s="148"/>
      <c r="B704" s="148"/>
      <c r="C704" s="148"/>
      <c r="D704" s="148"/>
      <c r="E704" s="148"/>
      <c r="F704" s="148"/>
      <c r="G704" s="148"/>
      <c r="H704" s="148"/>
      <c r="I704" s="148"/>
      <c r="J704" s="148"/>
      <c r="K704" s="148"/>
      <c r="L704" s="148"/>
      <c r="M704" s="148"/>
      <c r="N704" s="148"/>
      <c r="O704" s="148"/>
      <c r="P704" s="148"/>
      <c r="Q704" s="148"/>
      <c r="R704" s="148"/>
      <c r="S704" s="148"/>
      <c r="T704" s="148"/>
      <c r="U704" s="148"/>
      <c r="V704" s="148"/>
      <c r="W704" s="148"/>
      <c r="X704" s="148"/>
      <c r="Y704" s="148"/>
      <c r="Z704" s="148"/>
      <c r="AA704" s="148"/>
      <c r="AB704" s="148"/>
      <c r="AC704" s="148"/>
      <c r="AD704" s="148"/>
      <c r="AE704" s="148"/>
      <c r="AF704" s="148"/>
      <c r="AG704" s="148"/>
      <c r="AH704" s="148"/>
      <c r="AI704" s="148"/>
      <c r="AJ704" s="148"/>
      <c r="AK704" s="148"/>
      <c r="AL704" s="148"/>
      <c r="AM704" s="148"/>
      <c r="AN704" s="148"/>
      <c r="AO704" s="148"/>
      <c r="AP704" s="148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48"/>
      <c r="BC704" s="148"/>
    </row>
    <row r="705" spans="1:55" x14ac:dyDescent="0.2">
      <c r="A705" s="148"/>
      <c r="B705" s="148"/>
      <c r="C705" s="148"/>
      <c r="D705" s="148"/>
      <c r="E705" s="148"/>
      <c r="F705" s="148"/>
      <c r="G705" s="148"/>
      <c r="H705" s="148"/>
      <c r="I705" s="148"/>
      <c r="J705" s="148"/>
      <c r="K705" s="148"/>
      <c r="L705" s="148"/>
      <c r="M705" s="148"/>
      <c r="N705" s="148"/>
      <c r="O705" s="148"/>
      <c r="P705" s="148"/>
      <c r="Q705" s="148"/>
      <c r="R705" s="148"/>
      <c r="S705" s="148"/>
      <c r="T705" s="148"/>
      <c r="U705" s="148"/>
      <c r="V705" s="148"/>
      <c r="W705" s="148"/>
      <c r="X705" s="148"/>
      <c r="Y705" s="148"/>
      <c r="Z705" s="148"/>
      <c r="AA705" s="148"/>
      <c r="AB705" s="148"/>
      <c r="AC705" s="148"/>
      <c r="AD705" s="148"/>
      <c r="AE705" s="148"/>
      <c r="AF705" s="148"/>
      <c r="AG705" s="148"/>
      <c r="AH705" s="148"/>
      <c r="AI705" s="148"/>
      <c r="AJ705" s="148"/>
      <c r="AK705" s="148"/>
      <c r="AL705" s="148"/>
      <c r="AM705" s="148"/>
      <c r="AN705" s="148"/>
      <c r="AO705" s="148"/>
      <c r="AP705" s="148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48"/>
      <c r="BC705" s="148"/>
    </row>
    <row r="706" spans="1:55" x14ac:dyDescent="0.2">
      <c r="A706" s="148"/>
      <c r="B706" s="148"/>
      <c r="C706" s="148"/>
      <c r="D706" s="148"/>
      <c r="E706" s="148"/>
      <c r="F706" s="148"/>
      <c r="G706" s="148"/>
      <c r="H706" s="148"/>
      <c r="I706" s="148"/>
      <c r="J706" s="148"/>
      <c r="K706" s="148"/>
      <c r="L706" s="148"/>
      <c r="M706" s="148"/>
      <c r="N706" s="148"/>
      <c r="O706" s="148"/>
      <c r="P706" s="148"/>
      <c r="Q706" s="148"/>
      <c r="R706" s="148"/>
      <c r="S706" s="148"/>
      <c r="T706" s="148"/>
      <c r="U706" s="148"/>
      <c r="V706" s="148"/>
      <c r="W706" s="148"/>
      <c r="X706" s="148"/>
      <c r="Y706" s="148"/>
      <c r="Z706" s="148"/>
      <c r="AA706" s="148"/>
      <c r="AB706" s="148"/>
      <c r="AC706" s="148"/>
      <c r="AD706" s="148"/>
      <c r="AE706" s="148"/>
      <c r="AF706" s="148"/>
      <c r="AG706" s="148"/>
      <c r="AH706" s="148"/>
      <c r="AI706" s="148"/>
      <c r="AJ706" s="148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</row>
    <row r="707" spans="1:55" x14ac:dyDescent="0.2">
      <c r="A707" s="148"/>
      <c r="B707" s="148"/>
      <c r="C707" s="148"/>
      <c r="D707" s="148"/>
      <c r="E707" s="148"/>
      <c r="F707" s="148"/>
      <c r="G707" s="148"/>
      <c r="H707" s="148"/>
      <c r="I707" s="148"/>
      <c r="J707" s="148"/>
      <c r="K707" s="148"/>
      <c r="L707" s="148"/>
      <c r="M707" s="148"/>
      <c r="N707" s="148"/>
      <c r="O707" s="148"/>
      <c r="P707" s="148"/>
      <c r="Q707" s="148"/>
      <c r="R707" s="148"/>
      <c r="S707" s="148"/>
      <c r="T707" s="148"/>
      <c r="U707" s="148"/>
      <c r="V707" s="148"/>
      <c r="W707" s="148"/>
      <c r="X707" s="148"/>
      <c r="Y707" s="148"/>
      <c r="Z707" s="148"/>
      <c r="AA707" s="148"/>
      <c r="AB707" s="148"/>
      <c r="AC707" s="148"/>
      <c r="AD707" s="148"/>
      <c r="AE707" s="148"/>
      <c r="AF707" s="148"/>
      <c r="AG707" s="148"/>
      <c r="AH707" s="148"/>
      <c r="AI707" s="148"/>
      <c r="AJ707" s="148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</row>
    <row r="708" spans="1:55" x14ac:dyDescent="0.2">
      <c r="A708" s="148"/>
      <c r="B708" s="148"/>
      <c r="C708" s="148"/>
      <c r="D708" s="148"/>
      <c r="E708" s="148"/>
      <c r="F708" s="148"/>
      <c r="G708" s="148"/>
      <c r="H708" s="148"/>
      <c r="I708" s="148"/>
      <c r="J708" s="148"/>
      <c r="K708" s="148"/>
      <c r="L708" s="148"/>
      <c r="M708" s="148"/>
      <c r="N708" s="148"/>
      <c r="O708" s="148"/>
      <c r="P708" s="148"/>
      <c r="Q708" s="148"/>
      <c r="R708" s="148"/>
      <c r="S708" s="148"/>
      <c r="T708" s="148"/>
      <c r="U708" s="148"/>
      <c r="V708" s="148"/>
      <c r="W708" s="148"/>
      <c r="X708" s="148"/>
      <c r="Y708" s="148"/>
      <c r="Z708" s="148"/>
      <c r="AA708" s="148"/>
      <c r="AB708" s="148"/>
      <c r="AC708" s="148"/>
      <c r="AD708" s="148"/>
      <c r="AE708" s="148"/>
      <c r="AF708" s="148"/>
      <c r="AG708" s="148"/>
      <c r="AH708" s="148"/>
      <c r="AI708" s="148"/>
      <c r="AJ708" s="148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</row>
    <row r="709" spans="1:55" x14ac:dyDescent="0.2">
      <c r="A709" s="148"/>
      <c r="B709" s="148"/>
      <c r="C709" s="148"/>
      <c r="D709" s="148"/>
      <c r="E709" s="148"/>
      <c r="F709" s="148"/>
      <c r="G709" s="148"/>
      <c r="H709" s="148"/>
      <c r="I709" s="148"/>
      <c r="J709" s="148"/>
      <c r="K709" s="148"/>
      <c r="L709" s="148"/>
      <c r="M709" s="148"/>
      <c r="N709" s="148"/>
      <c r="O709" s="148"/>
      <c r="P709" s="148"/>
      <c r="Q709" s="148"/>
      <c r="R709" s="148"/>
      <c r="S709" s="148"/>
      <c r="T709" s="148"/>
      <c r="U709" s="148"/>
      <c r="V709" s="148"/>
      <c r="W709" s="148"/>
      <c r="X709" s="148"/>
      <c r="Y709" s="148"/>
      <c r="Z709" s="148"/>
      <c r="AA709" s="148"/>
      <c r="AB709" s="148"/>
      <c r="AC709" s="148"/>
      <c r="AD709" s="148"/>
      <c r="AE709" s="148"/>
      <c r="AF709" s="148"/>
      <c r="AG709" s="148"/>
      <c r="AH709" s="148"/>
      <c r="AI709" s="148"/>
      <c r="AJ709" s="148"/>
      <c r="AK709" s="148"/>
      <c r="AL709" s="148"/>
      <c r="AM709" s="148"/>
      <c r="AN709" s="148"/>
      <c r="AO709" s="148"/>
      <c r="AP709" s="148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</row>
    <row r="710" spans="1:55" x14ac:dyDescent="0.2">
      <c r="A710" s="148"/>
      <c r="B710" s="148"/>
      <c r="C710" s="148"/>
      <c r="D710" s="148"/>
      <c r="E710" s="148"/>
      <c r="F710" s="148"/>
      <c r="G710" s="148"/>
      <c r="H710" s="148"/>
      <c r="I710" s="148"/>
      <c r="J710" s="148"/>
      <c r="K710" s="148"/>
      <c r="L710" s="148"/>
      <c r="M710" s="148"/>
      <c r="N710" s="148"/>
      <c r="O710" s="148"/>
      <c r="P710" s="148"/>
      <c r="Q710" s="148"/>
      <c r="R710" s="148"/>
      <c r="S710" s="148"/>
      <c r="T710" s="148"/>
      <c r="U710" s="148"/>
      <c r="V710" s="148"/>
      <c r="W710" s="148"/>
      <c r="X710" s="148"/>
      <c r="Y710" s="148"/>
      <c r="Z710" s="148"/>
      <c r="AA710" s="148"/>
      <c r="AB710" s="148"/>
      <c r="AC710" s="148"/>
      <c r="AD710" s="148"/>
      <c r="AE710" s="148"/>
      <c r="AF710" s="148"/>
      <c r="AG710" s="148"/>
      <c r="AH710" s="148"/>
      <c r="AI710" s="148"/>
      <c r="AJ710" s="148"/>
      <c r="AK710" s="148"/>
      <c r="AL710" s="148"/>
      <c r="AM710" s="148"/>
      <c r="AN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</row>
    <row r="711" spans="1:55" x14ac:dyDescent="0.2">
      <c r="A711" s="148"/>
      <c r="B711" s="148"/>
      <c r="C711" s="148"/>
      <c r="D711" s="148"/>
      <c r="E711" s="148"/>
      <c r="F711" s="148"/>
      <c r="G711" s="148"/>
      <c r="H711" s="148"/>
      <c r="I711" s="148"/>
      <c r="J711" s="148"/>
      <c r="K711" s="148"/>
      <c r="L711" s="148"/>
      <c r="M711" s="148"/>
      <c r="N711" s="148"/>
      <c r="O711" s="148"/>
      <c r="P711" s="148"/>
      <c r="Q711" s="148"/>
      <c r="R711" s="148"/>
      <c r="S711" s="148"/>
      <c r="T711" s="148"/>
      <c r="U711" s="148"/>
      <c r="V711" s="148"/>
      <c r="W711" s="148"/>
      <c r="X711" s="148"/>
      <c r="Y711" s="148"/>
      <c r="Z711" s="148"/>
      <c r="AA711" s="148"/>
      <c r="AB711" s="148"/>
      <c r="AC711" s="148"/>
      <c r="AD711" s="148"/>
      <c r="AE711" s="148"/>
      <c r="AF711" s="148"/>
      <c r="AG711" s="148"/>
      <c r="AH711" s="148"/>
      <c r="AI711" s="148"/>
      <c r="AJ711" s="148"/>
      <c r="AK711" s="148"/>
      <c r="AL711" s="148"/>
      <c r="AM711" s="148"/>
      <c r="AN711" s="148"/>
      <c r="AO711" s="148"/>
      <c r="AP711" s="148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48"/>
      <c r="BC711" s="148"/>
    </row>
    <row r="712" spans="1:55" x14ac:dyDescent="0.2">
      <c r="A712" s="148"/>
      <c r="B712" s="148"/>
      <c r="C712" s="148"/>
      <c r="D712" s="148"/>
      <c r="E712" s="148"/>
      <c r="F712" s="148"/>
      <c r="G712" s="148"/>
      <c r="H712" s="148"/>
      <c r="I712" s="148"/>
      <c r="J712" s="148"/>
      <c r="K712" s="148"/>
      <c r="L712" s="148"/>
      <c r="M712" s="148"/>
      <c r="N712" s="148"/>
      <c r="O712" s="148"/>
      <c r="P712" s="148"/>
      <c r="Q712" s="148"/>
      <c r="R712" s="148"/>
      <c r="S712" s="148"/>
      <c r="T712" s="148"/>
      <c r="U712" s="148"/>
      <c r="V712" s="148"/>
      <c r="W712" s="148"/>
      <c r="X712" s="148"/>
      <c r="Y712" s="148"/>
      <c r="Z712" s="148"/>
      <c r="AA712" s="148"/>
      <c r="AB712" s="148"/>
      <c r="AC712" s="148"/>
      <c r="AD712" s="148"/>
      <c r="AE712" s="148"/>
      <c r="AF712" s="148"/>
      <c r="AG712" s="148"/>
      <c r="AH712" s="148"/>
      <c r="AI712" s="148"/>
      <c r="AJ712" s="148"/>
      <c r="AK712" s="148"/>
      <c r="AL712" s="148"/>
      <c r="AM712" s="148"/>
      <c r="AN712" s="148"/>
      <c r="AO712" s="148"/>
      <c r="AP712" s="148"/>
      <c r="AQ712" s="148"/>
      <c r="AR712" s="148"/>
      <c r="AS712" s="148"/>
      <c r="AT712" s="148"/>
      <c r="AU712" s="148"/>
      <c r="AV712" s="148"/>
      <c r="AW712" s="148"/>
      <c r="AX712" s="148"/>
      <c r="AY712" s="148"/>
      <c r="AZ712" s="148"/>
      <c r="BA712" s="148"/>
      <c r="BB712" s="148"/>
      <c r="BC712" s="148"/>
    </row>
    <row r="713" spans="1:55" x14ac:dyDescent="0.2">
      <c r="A713" s="148"/>
      <c r="B713" s="148"/>
      <c r="C713" s="148"/>
      <c r="D713" s="148"/>
      <c r="E713" s="148"/>
      <c r="F713" s="148"/>
      <c r="G713" s="148"/>
      <c r="H713" s="148"/>
      <c r="I713" s="148"/>
      <c r="J713" s="148"/>
      <c r="K713" s="148"/>
      <c r="L713" s="148"/>
      <c r="M713" s="148"/>
      <c r="N713" s="148"/>
      <c r="O713" s="148"/>
      <c r="P713" s="148"/>
      <c r="Q713" s="148"/>
      <c r="R713" s="148"/>
      <c r="S713" s="148"/>
      <c r="T713" s="148"/>
      <c r="U713" s="148"/>
      <c r="V713" s="148"/>
      <c r="W713" s="148"/>
      <c r="X713" s="148"/>
      <c r="Y713" s="148"/>
      <c r="Z713" s="148"/>
      <c r="AA713" s="148"/>
      <c r="AB713" s="148"/>
      <c r="AC713" s="148"/>
      <c r="AD713" s="148"/>
      <c r="AE713" s="148"/>
      <c r="AF713" s="148"/>
      <c r="AG713" s="148"/>
      <c r="AH713" s="148"/>
      <c r="AI713" s="148"/>
      <c r="AJ713" s="148"/>
      <c r="AK713" s="148"/>
      <c r="AL713" s="148"/>
      <c r="AM713" s="148"/>
      <c r="AN713" s="148"/>
      <c r="AO713" s="148"/>
      <c r="AP713" s="148"/>
      <c r="AQ713" s="148"/>
      <c r="AR713" s="148"/>
      <c r="AS713" s="148"/>
      <c r="AT713" s="148"/>
      <c r="AU713" s="148"/>
      <c r="AV713" s="148"/>
      <c r="AW713" s="148"/>
      <c r="AX713" s="148"/>
      <c r="AY713" s="148"/>
      <c r="AZ713" s="148"/>
      <c r="BA713" s="148"/>
      <c r="BB713" s="148"/>
      <c r="BC713" s="148"/>
    </row>
    <row r="714" spans="1:55" x14ac:dyDescent="0.2">
      <c r="A714" s="148"/>
      <c r="B714" s="148"/>
      <c r="C714" s="148"/>
      <c r="D714" s="148"/>
      <c r="E714" s="148"/>
      <c r="F714" s="148"/>
      <c r="G714" s="148"/>
      <c r="H714" s="148"/>
      <c r="I714" s="148"/>
      <c r="J714" s="148"/>
      <c r="K714" s="148"/>
      <c r="L714" s="148"/>
      <c r="M714" s="148"/>
      <c r="N714" s="148"/>
      <c r="O714" s="148"/>
      <c r="P714" s="148"/>
      <c r="Q714" s="148"/>
      <c r="R714" s="148"/>
      <c r="S714" s="148"/>
      <c r="T714" s="148"/>
      <c r="U714" s="148"/>
      <c r="V714" s="148"/>
      <c r="W714" s="148"/>
      <c r="X714" s="148"/>
      <c r="Y714" s="148"/>
      <c r="Z714" s="148"/>
      <c r="AA714" s="148"/>
      <c r="AB714" s="148"/>
      <c r="AC714" s="148"/>
      <c r="AD714" s="148"/>
      <c r="AE714" s="148"/>
      <c r="AF714" s="148"/>
      <c r="AG714" s="148"/>
      <c r="AH714" s="148"/>
      <c r="AI714" s="148"/>
      <c r="AJ714" s="148"/>
      <c r="AK714" s="148"/>
      <c r="AL714" s="148"/>
      <c r="AM714" s="148"/>
      <c r="AN714" s="148"/>
      <c r="AO714" s="148"/>
      <c r="AP714" s="148"/>
      <c r="AQ714" s="148"/>
      <c r="AR714" s="148"/>
      <c r="AS714" s="148"/>
      <c r="AT714" s="148"/>
      <c r="AU714" s="148"/>
      <c r="AV714" s="148"/>
      <c r="AW714" s="148"/>
      <c r="AX714" s="148"/>
      <c r="AY714" s="148"/>
      <c r="AZ714" s="148"/>
      <c r="BA714" s="148"/>
      <c r="BB714" s="148"/>
      <c r="BC714" s="148"/>
    </row>
    <row r="715" spans="1:55" x14ac:dyDescent="0.2">
      <c r="A715" s="148"/>
      <c r="B715" s="148"/>
      <c r="C715" s="148"/>
      <c r="D715" s="148"/>
      <c r="E715" s="148"/>
      <c r="F715" s="148"/>
      <c r="G715" s="148"/>
      <c r="H715" s="148"/>
      <c r="I715" s="148"/>
      <c r="J715" s="148"/>
      <c r="K715" s="148"/>
      <c r="L715" s="148"/>
      <c r="M715" s="148"/>
      <c r="N715" s="148"/>
      <c r="O715" s="148"/>
      <c r="P715" s="148"/>
      <c r="Q715" s="148"/>
      <c r="R715" s="148"/>
      <c r="S715" s="148"/>
      <c r="T715" s="148"/>
      <c r="U715" s="148"/>
      <c r="V715" s="148"/>
      <c r="W715" s="148"/>
      <c r="X715" s="148"/>
      <c r="Y715" s="148"/>
      <c r="Z715" s="148"/>
      <c r="AA715" s="148"/>
      <c r="AB715" s="148"/>
      <c r="AC715" s="148"/>
      <c r="AD715" s="148"/>
      <c r="AE715" s="148"/>
      <c r="AF715" s="148"/>
      <c r="AG715" s="148"/>
      <c r="AH715" s="148"/>
      <c r="AI715" s="148"/>
      <c r="AJ715" s="148"/>
      <c r="AK715" s="148"/>
      <c r="AL715" s="148"/>
      <c r="AM715" s="148"/>
      <c r="AN715" s="148"/>
      <c r="AO715" s="148"/>
      <c r="AP715" s="148"/>
      <c r="AQ715" s="148"/>
      <c r="AR715" s="148"/>
      <c r="AS715" s="148"/>
      <c r="AT715" s="148"/>
      <c r="AU715" s="148"/>
      <c r="AV715" s="148"/>
      <c r="AW715" s="148"/>
      <c r="AX715" s="148"/>
      <c r="AY715" s="148"/>
      <c r="AZ715" s="148"/>
      <c r="BA715" s="148"/>
      <c r="BB715" s="148"/>
      <c r="BC715" s="148"/>
    </row>
    <row r="716" spans="1:55" x14ac:dyDescent="0.2">
      <c r="A716" s="148"/>
      <c r="B716" s="148"/>
      <c r="C716" s="148"/>
      <c r="D716" s="148"/>
      <c r="E716" s="148"/>
      <c r="F716" s="148"/>
      <c r="G716" s="148"/>
      <c r="H716" s="148"/>
      <c r="I716" s="148"/>
      <c r="J716" s="148"/>
      <c r="K716" s="148"/>
      <c r="L716" s="148"/>
      <c r="M716" s="148"/>
      <c r="N716" s="148"/>
      <c r="O716" s="148"/>
      <c r="P716" s="148"/>
      <c r="Q716" s="148"/>
      <c r="R716" s="148"/>
      <c r="S716" s="148"/>
      <c r="T716" s="148"/>
      <c r="U716" s="148"/>
      <c r="V716" s="148"/>
      <c r="W716" s="148"/>
      <c r="X716" s="148"/>
      <c r="Y716" s="148"/>
      <c r="Z716" s="148"/>
      <c r="AA716" s="148"/>
      <c r="AB716" s="148"/>
      <c r="AC716" s="148"/>
      <c r="AD716" s="148"/>
      <c r="AE716" s="148"/>
      <c r="AF716" s="148"/>
      <c r="AG716" s="148"/>
      <c r="AH716" s="148"/>
      <c r="AI716" s="148"/>
      <c r="AJ716" s="148"/>
      <c r="AK716" s="148"/>
      <c r="AL716" s="148"/>
      <c r="AM716" s="148"/>
      <c r="AN716" s="148"/>
      <c r="AO716" s="148"/>
      <c r="AP716" s="148"/>
      <c r="AQ716" s="148"/>
      <c r="AR716" s="148"/>
      <c r="AS716" s="148"/>
      <c r="AT716" s="148"/>
      <c r="AU716" s="148"/>
      <c r="AV716" s="148"/>
      <c r="AW716" s="148"/>
      <c r="AX716" s="148"/>
      <c r="AY716" s="148"/>
      <c r="AZ716" s="148"/>
      <c r="BA716" s="148"/>
      <c r="BB716" s="148"/>
      <c r="BC716" s="148"/>
    </row>
    <row r="717" spans="1:55" x14ac:dyDescent="0.2">
      <c r="A717" s="148"/>
      <c r="B717" s="148"/>
      <c r="C717" s="148"/>
      <c r="D717" s="148"/>
      <c r="E717" s="148"/>
      <c r="F717" s="148"/>
      <c r="G717" s="148"/>
      <c r="H717" s="148"/>
      <c r="I717" s="148"/>
      <c r="J717" s="148"/>
      <c r="K717" s="148"/>
      <c r="L717" s="148"/>
      <c r="M717" s="148"/>
      <c r="N717" s="148"/>
      <c r="O717" s="148"/>
      <c r="P717" s="148"/>
      <c r="Q717" s="148"/>
      <c r="R717" s="148"/>
      <c r="S717" s="148"/>
      <c r="T717" s="148"/>
      <c r="U717" s="148"/>
      <c r="V717" s="148"/>
      <c r="W717" s="148"/>
      <c r="X717" s="148"/>
      <c r="Y717" s="148"/>
      <c r="Z717" s="148"/>
      <c r="AA717" s="148"/>
      <c r="AB717" s="148"/>
      <c r="AC717" s="148"/>
      <c r="AD717" s="148"/>
      <c r="AE717" s="148"/>
      <c r="AF717" s="148"/>
      <c r="AG717" s="148"/>
      <c r="AH717" s="148"/>
      <c r="AI717" s="148"/>
      <c r="AJ717" s="148"/>
      <c r="AK717" s="148"/>
      <c r="AL717" s="148"/>
      <c r="AM717" s="148"/>
      <c r="AN717" s="148"/>
      <c r="AO717" s="148"/>
      <c r="AP717" s="148"/>
      <c r="AQ717" s="148"/>
      <c r="AR717" s="148"/>
      <c r="AS717" s="148"/>
      <c r="AT717" s="148"/>
      <c r="AU717" s="148"/>
      <c r="AV717" s="148"/>
      <c r="AW717" s="148"/>
      <c r="AX717" s="148"/>
      <c r="AY717" s="148"/>
      <c r="AZ717" s="148"/>
      <c r="BA717" s="148"/>
      <c r="BB717" s="148"/>
      <c r="BC717" s="148"/>
    </row>
    <row r="718" spans="1:55" x14ac:dyDescent="0.2">
      <c r="A718" s="148"/>
      <c r="B718" s="148"/>
      <c r="C718" s="148"/>
      <c r="D718" s="148"/>
      <c r="E718" s="148"/>
      <c r="F718" s="148"/>
      <c r="G718" s="148"/>
      <c r="H718" s="148"/>
      <c r="I718" s="148"/>
      <c r="J718" s="148"/>
      <c r="K718" s="148"/>
      <c r="L718" s="148"/>
      <c r="M718" s="148"/>
      <c r="N718" s="148"/>
      <c r="O718" s="148"/>
      <c r="P718" s="148"/>
      <c r="Q718" s="148"/>
      <c r="R718" s="148"/>
      <c r="S718" s="148"/>
      <c r="T718" s="148"/>
      <c r="U718" s="148"/>
      <c r="V718" s="148"/>
      <c r="W718" s="148"/>
      <c r="X718" s="148"/>
      <c r="Y718" s="148"/>
      <c r="Z718" s="148"/>
      <c r="AA718" s="148"/>
      <c r="AB718" s="148"/>
      <c r="AC718" s="148"/>
      <c r="AD718" s="148"/>
      <c r="AE718" s="148"/>
      <c r="AF718" s="148"/>
      <c r="AG718" s="148"/>
      <c r="AH718" s="148"/>
      <c r="AI718" s="148"/>
      <c r="AJ718" s="148"/>
      <c r="AK718" s="148"/>
      <c r="AL718" s="148"/>
      <c r="AM718" s="148"/>
      <c r="AN718" s="148"/>
      <c r="AO718" s="148"/>
      <c r="AP718" s="148"/>
      <c r="AQ718" s="148"/>
      <c r="AR718" s="148"/>
      <c r="AS718" s="148"/>
      <c r="AT718" s="148"/>
      <c r="AU718" s="148"/>
      <c r="AV718" s="148"/>
      <c r="AW718" s="148"/>
      <c r="AX718" s="148"/>
      <c r="AY718" s="148"/>
      <c r="AZ718" s="148"/>
      <c r="BA718" s="148"/>
      <c r="BB718" s="148"/>
      <c r="BC718" s="148"/>
    </row>
    <row r="719" spans="1:55" x14ac:dyDescent="0.2">
      <c r="A719" s="148"/>
      <c r="B719" s="148"/>
      <c r="C719" s="148"/>
      <c r="D719" s="148"/>
      <c r="E719" s="148"/>
      <c r="F719" s="148"/>
      <c r="G719" s="148"/>
      <c r="H719" s="148"/>
      <c r="I719" s="148"/>
      <c r="J719" s="148"/>
      <c r="K719" s="148"/>
      <c r="L719" s="148"/>
      <c r="M719" s="148"/>
      <c r="N719" s="148"/>
      <c r="O719" s="148"/>
      <c r="P719" s="148"/>
      <c r="Q719" s="148"/>
      <c r="R719" s="148"/>
      <c r="S719" s="148"/>
      <c r="T719" s="148"/>
      <c r="U719" s="148"/>
      <c r="V719" s="148"/>
      <c r="W719" s="148"/>
      <c r="X719" s="148"/>
      <c r="Y719" s="148"/>
      <c r="Z719" s="148"/>
      <c r="AA719" s="148"/>
      <c r="AB719" s="148"/>
      <c r="AC719" s="148"/>
      <c r="AD719" s="148"/>
      <c r="AE719" s="148"/>
      <c r="AF719" s="148"/>
      <c r="AG719" s="148"/>
      <c r="AH719" s="148"/>
      <c r="AI719" s="148"/>
      <c r="AJ719" s="148"/>
      <c r="AK719" s="148"/>
      <c r="AL719" s="148"/>
      <c r="AM719" s="148"/>
      <c r="AN719" s="148"/>
      <c r="AO719" s="148"/>
      <c r="AP719" s="148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48"/>
      <c r="BC719" s="148"/>
    </row>
    <row r="720" spans="1:55" x14ac:dyDescent="0.2">
      <c r="A720" s="148"/>
      <c r="B720" s="148"/>
      <c r="C720" s="148"/>
      <c r="D720" s="148"/>
      <c r="E720" s="148"/>
      <c r="F720" s="148"/>
      <c r="G720" s="148"/>
      <c r="H720" s="148"/>
      <c r="I720" s="148"/>
      <c r="J720" s="148"/>
      <c r="K720" s="148"/>
      <c r="L720" s="148"/>
      <c r="M720" s="148"/>
      <c r="N720" s="148"/>
      <c r="O720" s="148"/>
      <c r="P720" s="148"/>
      <c r="Q720" s="148"/>
      <c r="R720" s="148"/>
      <c r="S720" s="148"/>
      <c r="T720" s="148"/>
      <c r="U720" s="148"/>
      <c r="V720" s="148"/>
      <c r="W720" s="148"/>
      <c r="X720" s="148"/>
      <c r="Y720" s="148"/>
      <c r="Z720" s="148"/>
      <c r="AA720" s="148"/>
      <c r="AB720" s="148"/>
      <c r="AC720" s="148"/>
      <c r="AD720" s="148"/>
      <c r="AE720" s="148"/>
      <c r="AF720" s="148"/>
      <c r="AG720" s="148"/>
      <c r="AH720" s="148"/>
      <c r="AI720" s="148"/>
      <c r="AJ720" s="148"/>
      <c r="AK720" s="148"/>
      <c r="AL720" s="148"/>
      <c r="AM720" s="148"/>
      <c r="AN720" s="148"/>
      <c r="AO720" s="148"/>
      <c r="AP720" s="148"/>
      <c r="AQ720" s="148"/>
      <c r="AR720" s="148"/>
      <c r="AS720" s="148"/>
      <c r="AT720" s="148"/>
      <c r="AU720" s="148"/>
      <c r="AV720" s="148"/>
      <c r="AW720" s="148"/>
      <c r="AX720" s="148"/>
      <c r="AY720" s="148"/>
      <c r="AZ720" s="148"/>
      <c r="BA720" s="148"/>
      <c r="BB720" s="148"/>
      <c r="BC720" s="148"/>
    </row>
    <row r="721" spans="1:55" x14ac:dyDescent="0.2">
      <c r="A721" s="148"/>
      <c r="B721" s="148"/>
      <c r="C721" s="148"/>
      <c r="D721" s="148"/>
      <c r="E721" s="148"/>
      <c r="F721" s="148"/>
      <c r="G721" s="148"/>
      <c r="H721" s="148"/>
      <c r="I721" s="148"/>
      <c r="J721" s="148"/>
      <c r="K721" s="148"/>
      <c r="L721" s="148"/>
      <c r="M721" s="148"/>
      <c r="N721" s="148"/>
      <c r="O721" s="148"/>
      <c r="P721" s="148"/>
      <c r="Q721" s="148"/>
      <c r="R721" s="148"/>
      <c r="S721" s="148"/>
      <c r="T721" s="148"/>
      <c r="U721" s="148"/>
      <c r="V721" s="148"/>
      <c r="W721" s="148"/>
      <c r="X721" s="148"/>
      <c r="Y721" s="148"/>
      <c r="Z721" s="148"/>
      <c r="AA721" s="148"/>
      <c r="AB721" s="148"/>
      <c r="AC721" s="148"/>
      <c r="AD721" s="148"/>
      <c r="AE721" s="148"/>
      <c r="AF721" s="148"/>
      <c r="AG721" s="148"/>
      <c r="AH721" s="148"/>
      <c r="AI721" s="148"/>
      <c r="AJ721" s="148"/>
      <c r="AK721" s="148"/>
      <c r="AL721" s="148"/>
      <c r="AM721" s="148"/>
      <c r="AN721" s="148"/>
      <c r="AO721" s="148"/>
      <c r="AP721" s="148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48"/>
      <c r="BC721" s="148"/>
    </row>
    <row r="722" spans="1:55" x14ac:dyDescent="0.2">
      <c r="A722" s="148"/>
      <c r="B722" s="148"/>
      <c r="C722" s="148"/>
      <c r="D722" s="148"/>
      <c r="E722" s="148"/>
      <c r="F722" s="148"/>
      <c r="G722" s="148"/>
      <c r="H722" s="148"/>
      <c r="I722" s="148"/>
      <c r="J722" s="148"/>
      <c r="K722" s="148"/>
      <c r="L722" s="148"/>
      <c r="M722" s="148"/>
      <c r="N722" s="148"/>
      <c r="O722" s="148"/>
      <c r="P722" s="148"/>
      <c r="Q722" s="148"/>
      <c r="R722" s="148"/>
      <c r="S722" s="148"/>
      <c r="T722" s="148"/>
      <c r="U722" s="148"/>
      <c r="V722" s="148"/>
      <c r="W722" s="148"/>
      <c r="X722" s="148"/>
      <c r="Y722" s="148"/>
      <c r="Z722" s="148"/>
      <c r="AA722" s="148"/>
      <c r="AB722" s="148"/>
      <c r="AC722" s="148"/>
      <c r="AD722" s="148"/>
      <c r="AE722" s="148"/>
      <c r="AF722" s="148"/>
      <c r="AG722" s="148"/>
      <c r="AH722" s="148"/>
      <c r="AI722" s="148"/>
      <c r="AJ722" s="148"/>
      <c r="AK722" s="148"/>
      <c r="AL722" s="148"/>
      <c r="AM722" s="148"/>
      <c r="AN722" s="148"/>
      <c r="AO722" s="148"/>
      <c r="AP722" s="148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48"/>
      <c r="BC722" s="148"/>
    </row>
    <row r="723" spans="1:55" x14ac:dyDescent="0.2">
      <c r="A723" s="148"/>
      <c r="B723" s="148"/>
      <c r="C723" s="148"/>
      <c r="D723" s="148"/>
      <c r="E723" s="148"/>
      <c r="F723" s="148"/>
      <c r="G723" s="148"/>
      <c r="H723" s="148"/>
      <c r="I723" s="148"/>
      <c r="J723" s="148"/>
      <c r="K723" s="148"/>
      <c r="L723" s="148"/>
      <c r="M723" s="148"/>
      <c r="N723" s="148"/>
      <c r="O723" s="148"/>
      <c r="P723" s="148"/>
      <c r="Q723" s="148"/>
      <c r="R723" s="148"/>
      <c r="S723" s="148"/>
      <c r="T723" s="148"/>
      <c r="U723" s="148"/>
      <c r="V723" s="148"/>
      <c r="W723" s="148"/>
      <c r="X723" s="148"/>
      <c r="Y723" s="148"/>
      <c r="Z723" s="148"/>
      <c r="AA723" s="148"/>
      <c r="AB723" s="148"/>
      <c r="AC723" s="148"/>
      <c r="AD723" s="148"/>
      <c r="AE723" s="148"/>
      <c r="AF723" s="148"/>
      <c r="AG723" s="148"/>
      <c r="AH723" s="148"/>
      <c r="AI723" s="148"/>
      <c r="AJ723" s="148"/>
      <c r="AK723" s="148"/>
      <c r="AL723" s="148"/>
      <c r="AM723" s="148"/>
      <c r="AN723" s="148"/>
      <c r="AO723" s="148"/>
      <c r="AP723" s="148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48"/>
      <c r="BC723" s="148"/>
    </row>
    <row r="724" spans="1:55" x14ac:dyDescent="0.2">
      <c r="A724" s="148"/>
      <c r="B724" s="148"/>
      <c r="C724" s="148"/>
      <c r="D724" s="148"/>
      <c r="E724" s="148"/>
      <c r="F724" s="148"/>
      <c r="G724" s="148"/>
      <c r="H724" s="148"/>
      <c r="I724" s="148"/>
      <c r="J724" s="148"/>
      <c r="K724" s="148"/>
      <c r="L724" s="148"/>
      <c r="M724" s="148"/>
      <c r="N724" s="148"/>
      <c r="O724" s="148"/>
      <c r="P724" s="148"/>
      <c r="Q724" s="148"/>
      <c r="R724" s="148"/>
      <c r="S724" s="148"/>
      <c r="T724" s="148"/>
      <c r="U724" s="148"/>
      <c r="V724" s="148"/>
      <c r="W724" s="148"/>
      <c r="X724" s="148"/>
      <c r="Y724" s="148"/>
      <c r="Z724" s="148"/>
      <c r="AA724" s="148"/>
      <c r="AB724" s="148"/>
      <c r="AC724" s="148"/>
      <c r="AD724" s="148"/>
      <c r="AE724" s="148"/>
      <c r="AF724" s="148"/>
      <c r="AG724" s="148"/>
      <c r="AH724" s="148"/>
      <c r="AI724" s="148"/>
      <c r="AJ724" s="148"/>
      <c r="AK724" s="148"/>
      <c r="AL724" s="148"/>
      <c r="AM724" s="148"/>
      <c r="AN724" s="148"/>
      <c r="AO724" s="148"/>
      <c r="AP724" s="148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48"/>
      <c r="BC724" s="148"/>
    </row>
    <row r="725" spans="1:55" x14ac:dyDescent="0.2">
      <c r="A725" s="148"/>
      <c r="B725" s="148"/>
      <c r="C725" s="148"/>
      <c r="D725" s="148"/>
      <c r="E725" s="148"/>
      <c r="F725" s="148"/>
      <c r="G725" s="148"/>
      <c r="H725" s="148"/>
      <c r="I725" s="148"/>
      <c r="J725" s="148"/>
      <c r="K725" s="148"/>
      <c r="L725" s="148"/>
      <c r="M725" s="148"/>
      <c r="N725" s="148"/>
      <c r="O725" s="148"/>
      <c r="P725" s="148"/>
      <c r="Q725" s="148"/>
      <c r="R725" s="148"/>
      <c r="S725" s="148"/>
      <c r="T725" s="148"/>
      <c r="U725" s="148"/>
      <c r="V725" s="148"/>
      <c r="W725" s="148"/>
      <c r="X725" s="148"/>
      <c r="Y725" s="148"/>
      <c r="Z725" s="148"/>
      <c r="AA725" s="148"/>
      <c r="AB725" s="148"/>
      <c r="AC725" s="148"/>
      <c r="AD725" s="148"/>
      <c r="AE725" s="148"/>
      <c r="AF725" s="148"/>
      <c r="AG725" s="148"/>
      <c r="AH725" s="148"/>
      <c r="AI725" s="148"/>
      <c r="AJ725" s="148"/>
      <c r="AK725" s="148"/>
      <c r="AL725" s="148"/>
      <c r="AM725" s="148"/>
      <c r="AN725" s="148"/>
      <c r="AO725" s="148"/>
      <c r="AP725" s="148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</row>
    <row r="726" spans="1:55" x14ac:dyDescent="0.2">
      <c r="A726" s="148"/>
      <c r="B726" s="148"/>
      <c r="C726" s="148"/>
      <c r="D726" s="148"/>
      <c r="E726" s="148"/>
      <c r="F726" s="148"/>
      <c r="G726" s="148"/>
      <c r="H726" s="148"/>
      <c r="I726" s="148"/>
      <c r="J726" s="148"/>
      <c r="K726" s="148"/>
      <c r="L726" s="148"/>
      <c r="M726" s="148"/>
      <c r="N726" s="148"/>
      <c r="O726" s="148"/>
      <c r="P726" s="148"/>
      <c r="Q726" s="148"/>
      <c r="R726" s="148"/>
      <c r="S726" s="148"/>
      <c r="T726" s="148"/>
      <c r="U726" s="148"/>
      <c r="V726" s="148"/>
      <c r="W726" s="148"/>
      <c r="X726" s="148"/>
      <c r="Y726" s="148"/>
      <c r="Z726" s="148"/>
      <c r="AA726" s="148"/>
      <c r="AB726" s="148"/>
      <c r="AC726" s="148"/>
      <c r="AD726" s="148"/>
      <c r="AE726" s="148"/>
      <c r="AF726" s="148"/>
      <c r="AG726" s="148"/>
      <c r="AH726" s="148"/>
      <c r="AI726" s="148"/>
      <c r="AJ726" s="148"/>
      <c r="AK726" s="148"/>
      <c r="AL726" s="148"/>
      <c r="AM726" s="148"/>
      <c r="AN726" s="148"/>
      <c r="AO726" s="148"/>
      <c r="AP726" s="148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</row>
    <row r="727" spans="1:55" x14ac:dyDescent="0.2">
      <c r="A727" s="148"/>
      <c r="B727" s="148"/>
      <c r="C727" s="148"/>
      <c r="D727" s="148"/>
      <c r="E727" s="148"/>
      <c r="F727" s="148"/>
      <c r="G727" s="148"/>
      <c r="H727" s="148"/>
      <c r="I727" s="148"/>
      <c r="J727" s="148"/>
      <c r="K727" s="148"/>
      <c r="L727" s="148"/>
      <c r="M727" s="148"/>
      <c r="N727" s="148"/>
      <c r="O727" s="148"/>
      <c r="P727" s="148"/>
      <c r="Q727" s="148"/>
      <c r="R727" s="148"/>
      <c r="S727" s="148"/>
      <c r="T727" s="148"/>
      <c r="U727" s="148"/>
      <c r="V727" s="148"/>
      <c r="W727" s="148"/>
      <c r="X727" s="148"/>
      <c r="Y727" s="148"/>
      <c r="Z727" s="148"/>
      <c r="AA727" s="148"/>
      <c r="AB727" s="148"/>
      <c r="AC727" s="148"/>
      <c r="AD727" s="148"/>
      <c r="AE727" s="148"/>
      <c r="AF727" s="148"/>
      <c r="AG727" s="148"/>
      <c r="AH727" s="148"/>
      <c r="AI727" s="148"/>
      <c r="AJ727" s="148"/>
      <c r="AK727" s="148"/>
      <c r="AL727" s="148"/>
      <c r="AM727" s="148"/>
      <c r="AN727" s="148"/>
      <c r="AO727" s="148"/>
      <c r="AP727" s="148"/>
      <c r="AQ727" s="148"/>
      <c r="AR727" s="148"/>
      <c r="AS727" s="148"/>
      <c r="AT727" s="148"/>
      <c r="AU727" s="148"/>
      <c r="AV727" s="148"/>
      <c r="AW727" s="148"/>
      <c r="AX727" s="148"/>
      <c r="AY727" s="148"/>
      <c r="AZ727" s="148"/>
      <c r="BA727" s="148"/>
      <c r="BB727" s="148"/>
      <c r="BC727" s="148"/>
    </row>
    <row r="728" spans="1:55" x14ac:dyDescent="0.2">
      <c r="A728" s="148"/>
      <c r="B728" s="148"/>
      <c r="C728" s="148"/>
      <c r="D728" s="148"/>
      <c r="E728" s="148"/>
      <c r="F728" s="148"/>
      <c r="G728" s="148"/>
      <c r="H728" s="148"/>
      <c r="I728" s="148"/>
      <c r="J728" s="148"/>
      <c r="K728" s="148"/>
      <c r="L728" s="148"/>
      <c r="M728" s="148"/>
      <c r="N728" s="148"/>
      <c r="O728" s="148"/>
      <c r="P728" s="148"/>
      <c r="Q728" s="148"/>
      <c r="R728" s="148"/>
      <c r="S728" s="148"/>
      <c r="T728" s="148"/>
      <c r="U728" s="148"/>
      <c r="V728" s="148"/>
      <c r="W728" s="148"/>
      <c r="X728" s="148"/>
      <c r="Y728" s="148"/>
      <c r="Z728" s="148"/>
      <c r="AA728" s="148"/>
      <c r="AB728" s="148"/>
      <c r="AC728" s="148"/>
      <c r="AD728" s="148"/>
      <c r="AE728" s="148"/>
      <c r="AF728" s="148"/>
      <c r="AG728" s="148"/>
      <c r="AH728" s="148"/>
      <c r="AI728" s="148"/>
      <c r="AJ728" s="148"/>
      <c r="AK728" s="148"/>
      <c r="AL728" s="148"/>
      <c r="AM728" s="148"/>
      <c r="AN728" s="148"/>
      <c r="AO728" s="148"/>
      <c r="AP728" s="148"/>
      <c r="AQ728" s="148"/>
      <c r="AR728" s="148"/>
      <c r="AS728" s="148"/>
      <c r="AT728" s="148"/>
      <c r="AU728" s="148"/>
      <c r="AV728" s="148"/>
      <c r="AW728" s="148"/>
      <c r="AX728" s="148"/>
      <c r="AY728" s="148"/>
      <c r="AZ728" s="148"/>
      <c r="BA728" s="148"/>
      <c r="BB728" s="148"/>
      <c r="BC728" s="148"/>
    </row>
    <row r="729" spans="1:55" x14ac:dyDescent="0.2">
      <c r="A729" s="148"/>
      <c r="B729" s="148"/>
      <c r="C729" s="148"/>
      <c r="D729" s="148"/>
      <c r="E729" s="148"/>
      <c r="F729" s="148"/>
      <c r="G729" s="148"/>
      <c r="H729" s="148"/>
      <c r="I729" s="148"/>
      <c r="J729" s="148"/>
      <c r="K729" s="148"/>
      <c r="L729" s="148"/>
      <c r="M729" s="148"/>
      <c r="N729" s="148"/>
      <c r="O729" s="148"/>
      <c r="P729" s="148"/>
      <c r="Q729" s="148"/>
      <c r="R729" s="148"/>
      <c r="S729" s="148"/>
      <c r="T729" s="148"/>
      <c r="U729" s="148"/>
      <c r="V729" s="148"/>
      <c r="W729" s="148"/>
      <c r="X729" s="148"/>
      <c r="Y729" s="148"/>
      <c r="Z729" s="148"/>
      <c r="AA729" s="148"/>
      <c r="AB729" s="148"/>
      <c r="AC729" s="148"/>
      <c r="AD729" s="148"/>
      <c r="AE729" s="148"/>
      <c r="AF729" s="148"/>
      <c r="AG729" s="148"/>
      <c r="AH729" s="148"/>
      <c r="AI729" s="148"/>
      <c r="AJ729" s="148"/>
      <c r="AK729" s="148"/>
      <c r="AL729" s="148"/>
      <c r="AM729" s="148"/>
      <c r="AN729" s="148"/>
      <c r="AO729" s="148"/>
      <c r="AP729" s="148"/>
      <c r="AQ729" s="148"/>
      <c r="AR729" s="148"/>
      <c r="AS729" s="148"/>
      <c r="AT729" s="148"/>
      <c r="AU729" s="148"/>
      <c r="AV729" s="148"/>
      <c r="AW729" s="148"/>
      <c r="AX729" s="148"/>
      <c r="AY729" s="148"/>
      <c r="AZ729" s="148"/>
      <c r="BA729" s="148"/>
      <c r="BB729" s="148"/>
      <c r="BC729" s="148"/>
    </row>
    <row r="730" spans="1:55" x14ac:dyDescent="0.2">
      <c r="A730" s="148"/>
      <c r="B730" s="148"/>
      <c r="C730" s="148"/>
      <c r="D730" s="148"/>
      <c r="E730" s="148"/>
      <c r="F730" s="148"/>
      <c r="G730" s="148"/>
      <c r="H730" s="148"/>
      <c r="I730" s="148"/>
      <c r="J730" s="148"/>
      <c r="K730" s="148"/>
      <c r="L730" s="148"/>
      <c r="M730" s="148"/>
      <c r="N730" s="148"/>
      <c r="O730" s="148"/>
      <c r="P730" s="148"/>
      <c r="Q730" s="148"/>
      <c r="R730" s="148"/>
      <c r="S730" s="148"/>
      <c r="T730" s="148"/>
      <c r="U730" s="148"/>
      <c r="V730" s="148"/>
      <c r="W730" s="148"/>
      <c r="X730" s="148"/>
      <c r="Y730" s="148"/>
      <c r="Z730" s="148"/>
      <c r="AA730" s="148"/>
      <c r="AB730" s="148"/>
      <c r="AC730" s="148"/>
      <c r="AD730" s="148"/>
      <c r="AE730" s="148"/>
      <c r="AF730" s="148"/>
      <c r="AG730" s="148"/>
      <c r="AH730" s="148"/>
      <c r="AI730" s="148"/>
      <c r="AJ730" s="148"/>
      <c r="AK730" s="148"/>
      <c r="AL730" s="148"/>
      <c r="AM730" s="148"/>
      <c r="AN730" s="148"/>
      <c r="AO730" s="148"/>
      <c r="AP730" s="148"/>
      <c r="AQ730" s="148"/>
      <c r="AR730" s="148"/>
      <c r="AS730" s="148"/>
      <c r="AT730" s="148"/>
      <c r="AU730" s="148"/>
      <c r="AV730" s="148"/>
      <c r="AW730" s="148"/>
      <c r="AX730" s="148"/>
      <c r="AY730" s="148"/>
      <c r="AZ730" s="148"/>
      <c r="BA730" s="148"/>
      <c r="BB730" s="148"/>
      <c r="BC730" s="148"/>
    </row>
    <row r="731" spans="1:55" x14ac:dyDescent="0.2">
      <c r="A731" s="148"/>
      <c r="B731" s="148"/>
      <c r="C731" s="148"/>
      <c r="D731" s="148"/>
      <c r="E731" s="148"/>
      <c r="F731" s="148"/>
      <c r="G731" s="148"/>
      <c r="H731" s="148"/>
      <c r="I731" s="148"/>
      <c r="J731" s="148"/>
      <c r="K731" s="148"/>
      <c r="L731" s="148"/>
      <c r="M731" s="148"/>
      <c r="N731" s="148"/>
      <c r="O731" s="148"/>
      <c r="P731" s="148"/>
      <c r="Q731" s="148"/>
      <c r="R731" s="148"/>
      <c r="S731" s="148"/>
      <c r="T731" s="148"/>
      <c r="U731" s="148"/>
      <c r="V731" s="148"/>
      <c r="W731" s="148"/>
      <c r="X731" s="148"/>
      <c r="Y731" s="148"/>
      <c r="Z731" s="148"/>
      <c r="AA731" s="148"/>
      <c r="AB731" s="148"/>
      <c r="AC731" s="148"/>
      <c r="AD731" s="148"/>
      <c r="AE731" s="148"/>
      <c r="AF731" s="148"/>
      <c r="AG731" s="148"/>
      <c r="AH731" s="148"/>
      <c r="AI731" s="148"/>
      <c r="AJ731" s="148"/>
      <c r="AK731" s="148"/>
      <c r="AL731" s="148"/>
      <c r="AM731" s="148"/>
      <c r="AN731" s="148"/>
      <c r="AO731" s="148"/>
      <c r="AP731" s="148"/>
      <c r="AQ731" s="148"/>
      <c r="AR731" s="148"/>
      <c r="AS731" s="148"/>
      <c r="AT731" s="148"/>
      <c r="AU731" s="148"/>
      <c r="AV731" s="148"/>
      <c r="AW731" s="148"/>
      <c r="AX731" s="148"/>
      <c r="AY731" s="148"/>
      <c r="AZ731" s="148"/>
      <c r="BA731" s="148"/>
      <c r="BB731" s="148"/>
      <c r="BC731" s="148"/>
    </row>
    <row r="732" spans="1:55" x14ac:dyDescent="0.2">
      <c r="A732" s="148"/>
      <c r="B732" s="148"/>
      <c r="C732" s="148"/>
      <c r="D732" s="148"/>
      <c r="E732" s="148"/>
      <c r="F732" s="148"/>
      <c r="G732" s="148"/>
      <c r="H732" s="148"/>
      <c r="I732" s="148"/>
      <c r="J732" s="148"/>
      <c r="K732" s="148"/>
      <c r="L732" s="148"/>
      <c r="M732" s="148"/>
      <c r="N732" s="148"/>
      <c r="O732" s="148"/>
      <c r="P732" s="148"/>
      <c r="Q732" s="148"/>
      <c r="R732" s="148"/>
      <c r="S732" s="148"/>
      <c r="T732" s="148"/>
      <c r="U732" s="148"/>
      <c r="V732" s="148"/>
      <c r="W732" s="148"/>
      <c r="X732" s="148"/>
      <c r="Y732" s="148"/>
      <c r="Z732" s="148"/>
      <c r="AA732" s="148"/>
      <c r="AB732" s="148"/>
      <c r="AC732" s="148"/>
      <c r="AD732" s="148"/>
      <c r="AE732" s="148"/>
      <c r="AF732" s="148"/>
      <c r="AG732" s="148"/>
      <c r="AH732" s="148"/>
      <c r="AI732" s="148"/>
      <c r="AJ732" s="148"/>
      <c r="AK732" s="148"/>
      <c r="AL732" s="148"/>
      <c r="AM732" s="148"/>
      <c r="AN732" s="148"/>
      <c r="AO732" s="148"/>
      <c r="AP732" s="148"/>
      <c r="AQ732" s="148"/>
      <c r="AR732" s="148"/>
      <c r="AS732" s="148"/>
      <c r="AT732" s="148"/>
      <c r="AU732" s="148"/>
      <c r="AV732" s="148"/>
      <c r="AW732" s="148"/>
      <c r="AX732" s="148"/>
      <c r="AY732" s="148"/>
      <c r="AZ732" s="148"/>
      <c r="BA732" s="148"/>
      <c r="BB732" s="148"/>
      <c r="BC732" s="148"/>
    </row>
    <row r="733" spans="1:55" x14ac:dyDescent="0.2">
      <c r="A733" s="148"/>
      <c r="B733" s="148"/>
      <c r="C733" s="148"/>
      <c r="D733" s="148"/>
      <c r="E733" s="148"/>
      <c r="F733" s="148"/>
      <c r="G733" s="148"/>
      <c r="H733" s="148"/>
      <c r="I733" s="148"/>
      <c r="J733" s="148"/>
      <c r="K733" s="148"/>
      <c r="L733" s="148"/>
      <c r="M733" s="148"/>
      <c r="N733" s="148"/>
      <c r="O733" s="148"/>
      <c r="P733" s="148"/>
      <c r="Q733" s="148"/>
      <c r="R733" s="148"/>
      <c r="S733" s="148"/>
      <c r="T733" s="148"/>
      <c r="U733" s="148"/>
      <c r="V733" s="148"/>
      <c r="W733" s="148"/>
      <c r="X733" s="148"/>
      <c r="Y733" s="148"/>
      <c r="Z733" s="148"/>
      <c r="AA733" s="148"/>
      <c r="AB733" s="148"/>
      <c r="AC733" s="148"/>
      <c r="AD733" s="148"/>
      <c r="AE733" s="148"/>
      <c r="AF733" s="148"/>
      <c r="AG733" s="148"/>
      <c r="AH733" s="148"/>
      <c r="AI733" s="148"/>
      <c r="AJ733" s="148"/>
      <c r="AK733" s="148"/>
      <c r="AL733" s="148"/>
      <c r="AM733" s="148"/>
      <c r="AN733" s="148"/>
      <c r="AO733" s="148"/>
      <c r="AP733" s="148"/>
      <c r="AQ733" s="148"/>
      <c r="AR733" s="148"/>
      <c r="AS733" s="148"/>
      <c r="AT733" s="148"/>
      <c r="AU733" s="148"/>
      <c r="AV733" s="148"/>
      <c r="AW733" s="148"/>
      <c r="AX733" s="148"/>
      <c r="AY733" s="148"/>
      <c r="AZ733" s="148"/>
      <c r="BA733" s="148"/>
      <c r="BB733" s="148"/>
      <c r="BC733" s="148"/>
    </row>
    <row r="734" spans="1:55" x14ac:dyDescent="0.2">
      <c r="A734" s="148"/>
      <c r="B734" s="148"/>
      <c r="C734" s="148"/>
      <c r="D734" s="148"/>
      <c r="E734" s="148"/>
      <c r="F734" s="148"/>
      <c r="G734" s="148"/>
      <c r="H734" s="148"/>
      <c r="I734" s="148"/>
      <c r="J734" s="148"/>
      <c r="K734" s="148"/>
      <c r="L734" s="148"/>
      <c r="M734" s="148"/>
      <c r="N734" s="148"/>
      <c r="O734" s="148"/>
      <c r="P734" s="148"/>
      <c r="Q734" s="148"/>
      <c r="R734" s="148"/>
      <c r="S734" s="148"/>
      <c r="T734" s="148"/>
      <c r="U734" s="148"/>
      <c r="V734" s="148"/>
      <c r="W734" s="148"/>
      <c r="X734" s="148"/>
      <c r="Y734" s="148"/>
      <c r="Z734" s="148"/>
      <c r="AA734" s="148"/>
      <c r="AB734" s="148"/>
      <c r="AC734" s="148"/>
      <c r="AD734" s="148"/>
      <c r="AE734" s="148"/>
      <c r="AF734" s="148"/>
      <c r="AG734" s="148"/>
      <c r="AH734" s="148"/>
      <c r="AI734" s="148"/>
      <c r="AJ734" s="148"/>
      <c r="AK734" s="148"/>
      <c r="AL734" s="148"/>
      <c r="AM734" s="148"/>
      <c r="AN734" s="148"/>
      <c r="AO734" s="148"/>
      <c r="AP734" s="148"/>
      <c r="AQ734" s="148"/>
      <c r="AR734" s="148"/>
      <c r="AS734" s="148"/>
      <c r="AT734" s="148"/>
      <c r="AU734" s="148"/>
      <c r="AV734" s="148"/>
      <c r="AW734" s="148"/>
      <c r="AX734" s="148"/>
      <c r="AY734" s="148"/>
      <c r="AZ734" s="148"/>
      <c r="BA734" s="148"/>
      <c r="BB734" s="148"/>
      <c r="BC734" s="148"/>
    </row>
    <row r="735" spans="1:55" x14ac:dyDescent="0.2">
      <c r="A735" s="148"/>
      <c r="B735" s="148"/>
      <c r="C735" s="148"/>
      <c r="D735" s="148"/>
      <c r="E735" s="148"/>
      <c r="F735" s="148"/>
      <c r="G735" s="148"/>
      <c r="H735" s="148"/>
      <c r="I735" s="148"/>
      <c r="J735" s="148"/>
      <c r="K735" s="148"/>
      <c r="L735" s="148"/>
      <c r="M735" s="148"/>
      <c r="N735" s="148"/>
      <c r="O735" s="148"/>
      <c r="P735" s="148"/>
      <c r="Q735" s="148"/>
      <c r="R735" s="148"/>
      <c r="S735" s="148"/>
      <c r="T735" s="148"/>
      <c r="U735" s="148"/>
      <c r="V735" s="148"/>
      <c r="W735" s="148"/>
      <c r="X735" s="148"/>
      <c r="Y735" s="148"/>
      <c r="Z735" s="148"/>
      <c r="AA735" s="148"/>
      <c r="AB735" s="148"/>
      <c r="AC735" s="148"/>
      <c r="AD735" s="148"/>
      <c r="AE735" s="148"/>
      <c r="AF735" s="148"/>
      <c r="AG735" s="148"/>
      <c r="AH735" s="148"/>
      <c r="AI735" s="148"/>
      <c r="AJ735" s="148"/>
      <c r="AK735" s="148"/>
      <c r="AL735" s="148"/>
      <c r="AM735" s="148"/>
      <c r="AN735" s="148"/>
      <c r="AO735" s="148"/>
      <c r="AP735" s="148"/>
      <c r="AQ735" s="148"/>
      <c r="AR735" s="148"/>
      <c r="AS735" s="148"/>
      <c r="AT735" s="148"/>
      <c r="AU735" s="148"/>
      <c r="AV735" s="148"/>
      <c r="AW735" s="148"/>
      <c r="AX735" s="148"/>
      <c r="AY735" s="148"/>
      <c r="AZ735" s="148"/>
      <c r="BA735" s="148"/>
      <c r="BB735" s="148"/>
      <c r="BC735" s="148"/>
    </row>
    <row r="736" spans="1:55" x14ac:dyDescent="0.2">
      <c r="A736" s="148"/>
      <c r="B736" s="148"/>
      <c r="C736" s="148"/>
      <c r="D736" s="148"/>
      <c r="E736" s="148"/>
      <c r="F736" s="148"/>
      <c r="G736" s="148"/>
      <c r="H736" s="148"/>
      <c r="I736" s="148"/>
      <c r="J736" s="148"/>
      <c r="K736" s="148"/>
      <c r="L736" s="148"/>
      <c r="M736" s="148"/>
      <c r="N736" s="148"/>
      <c r="O736" s="148"/>
      <c r="P736" s="148"/>
      <c r="Q736" s="148"/>
      <c r="R736" s="148"/>
      <c r="S736" s="148"/>
      <c r="T736" s="148"/>
      <c r="U736" s="148"/>
      <c r="V736" s="148"/>
      <c r="W736" s="148"/>
      <c r="X736" s="148"/>
      <c r="Y736" s="148"/>
      <c r="Z736" s="148"/>
      <c r="AA736" s="148"/>
      <c r="AB736" s="148"/>
      <c r="AC736" s="148"/>
      <c r="AD736" s="148"/>
      <c r="AE736" s="148"/>
      <c r="AF736" s="148"/>
      <c r="AG736" s="148"/>
      <c r="AH736" s="148"/>
      <c r="AI736" s="148"/>
      <c r="AJ736" s="148"/>
      <c r="AK736" s="148"/>
      <c r="AL736" s="148"/>
      <c r="AM736" s="148"/>
      <c r="AN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</row>
    <row r="737" spans="1:55" x14ac:dyDescent="0.2">
      <c r="A737" s="148"/>
      <c r="B737" s="148"/>
      <c r="C737" s="148"/>
      <c r="D737" s="148"/>
      <c r="E737" s="148"/>
      <c r="F737" s="148"/>
      <c r="G737" s="148"/>
      <c r="H737" s="148"/>
      <c r="I737" s="148"/>
      <c r="J737" s="148"/>
      <c r="K737" s="148"/>
      <c r="L737" s="148"/>
      <c r="M737" s="148"/>
      <c r="N737" s="148"/>
      <c r="O737" s="148"/>
      <c r="P737" s="148"/>
      <c r="Q737" s="148"/>
      <c r="R737" s="148"/>
      <c r="S737" s="148"/>
      <c r="T737" s="148"/>
      <c r="U737" s="148"/>
      <c r="V737" s="148"/>
      <c r="W737" s="148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/>
      <c r="AH737" s="148"/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</row>
    <row r="738" spans="1:55" x14ac:dyDescent="0.2">
      <c r="A738" s="148"/>
      <c r="B738" s="148"/>
      <c r="C738" s="148"/>
      <c r="D738" s="148"/>
      <c r="E738" s="148"/>
      <c r="F738" s="148"/>
      <c r="G738" s="148"/>
      <c r="H738" s="148"/>
      <c r="I738" s="148"/>
      <c r="J738" s="148"/>
      <c r="K738" s="148"/>
      <c r="L738" s="148"/>
      <c r="M738" s="148"/>
      <c r="N738" s="148"/>
      <c r="O738" s="148"/>
      <c r="P738" s="148"/>
      <c r="Q738" s="148"/>
      <c r="R738" s="148"/>
      <c r="S738" s="148"/>
      <c r="T738" s="148"/>
      <c r="U738" s="148"/>
      <c r="V738" s="148"/>
      <c r="W738" s="148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/>
      <c r="AH738" s="148"/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</row>
    <row r="739" spans="1:55" x14ac:dyDescent="0.2">
      <c r="A739" s="148"/>
      <c r="B739" s="148"/>
      <c r="C739" s="148"/>
      <c r="D739" s="148"/>
      <c r="E739" s="148"/>
      <c r="F739" s="148"/>
      <c r="G739" s="148"/>
      <c r="H739" s="148"/>
      <c r="I739" s="148"/>
      <c r="J739" s="148"/>
      <c r="K739" s="148"/>
      <c r="L739" s="148"/>
      <c r="M739" s="148"/>
      <c r="N739" s="148"/>
      <c r="O739" s="148"/>
      <c r="P739" s="148"/>
      <c r="Q739" s="148"/>
      <c r="R739" s="148"/>
      <c r="S739" s="148"/>
      <c r="T739" s="148"/>
      <c r="U739" s="148"/>
      <c r="V739" s="148"/>
      <c r="W739" s="14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</row>
    <row r="740" spans="1:55" x14ac:dyDescent="0.2">
      <c r="A740" s="148"/>
      <c r="B740" s="148"/>
      <c r="C740" s="148"/>
      <c r="D740" s="148"/>
      <c r="E740" s="148"/>
      <c r="F740" s="148"/>
      <c r="G740" s="148"/>
      <c r="H740" s="148"/>
      <c r="I740" s="148"/>
      <c r="J740" s="148"/>
      <c r="K740" s="148"/>
      <c r="L740" s="148"/>
      <c r="M740" s="148"/>
      <c r="N740" s="148"/>
      <c r="O740" s="148"/>
      <c r="P740" s="148"/>
      <c r="Q740" s="148"/>
      <c r="R740" s="148"/>
      <c r="S740" s="148"/>
      <c r="T740" s="148"/>
      <c r="U740" s="148"/>
      <c r="V740" s="148"/>
      <c r="W740" s="148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</row>
    <row r="741" spans="1:55" x14ac:dyDescent="0.2">
      <c r="A741" s="148"/>
      <c r="B741" s="148"/>
      <c r="C741" s="148"/>
      <c r="D741" s="148"/>
      <c r="E741" s="148"/>
      <c r="F741" s="148"/>
      <c r="G741" s="148"/>
      <c r="H741" s="148"/>
      <c r="I741" s="148"/>
      <c r="J741" s="148"/>
      <c r="K741" s="148"/>
      <c r="L741" s="148"/>
      <c r="M741" s="148"/>
      <c r="N741" s="148"/>
      <c r="O741" s="148"/>
      <c r="P741" s="148"/>
      <c r="Q741" s="148"/>
      <c r="R741" s="148"/>
      <c r="S741" s="148"/>
      <c r="T741" s="148"/>
      <c r="U741" s="148"/>
      <c r="V741" s="148"/>
      <c r="W741" s="14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</row>
    <row r="742" spans="1:55" x14ac:dyDescent="0.2">
      <c r="A742" s="148"/>
      <c r="B742" s="148"/>
      <c r="C742" s="148"/>
      <c r="D742" s="148"/>
      <c r="E742" s="148"/>
      <c r="F742" s="148"/>
      <c r="G742" s="148"/>
      <c r="H742" s="148"/>
      <c r="I742" s="148"/>
      <c r="J742" s="148"/>
      <c r="K742" s="148"/>
      <c r="L742" s="148"/>
      <c r="M742" s="148"/>
      <c r="N742" s="148"/>
      <c r="O742" s="148"/>
      <c r="P742" s="148"/>
      <c r="Q742" s="148"/>
      <c r="R742" s="148"/>
      <c r="S742" s="148"/>
      <c r="T742" s="148"/>
      <c r="U742" s="148"/>
      <c r="V742" s="148"/>
      <c r="W742" s="148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</row>
    <row r="743" spans="1:55" x14ac:dyDescent="0.2">
      <c r="A743" s="148"/>
      <c r="B743" s="148"/>
      <c r="C743" s="148"/>
      <c r="D743" s="148"/>
      <c r="E743" s="148"/>
      <c r="F743" s="148"/>
      <c r="G743" s="148"/>
      <c r="H743" s="148"/>
      <c r="I743" s="148"/>
      <c r="J743" s="148"/>
      <c r="K743" s="148"/>
      <c r="L743" s="148"/>
      <c r="M743" s="148"/>
      <c r="N743" s="148"/>
      <c r="O743" s="148"/>
      <c r="P743" s="148"/>
      <c r="Q743" s="148"/>
      <c r="R743" s="148"/>
      <c r="S743" s="148"/>
      <c r="T743" s="148"/>
      <c r="U743" s="148"/>
      <c r="V743" s="148"/>
      <c r="W743" s="148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</row>
    <row r="744" spans="1:55" x14ac:dyDescent="0.2">
      <c r="A744" s="148"/>
      <c r="B744" s="148"/>
      <c r="C744" s="148"/>
      <c r="D744" s="148"/>
      <c r="E744" s="148"/>
      <c r="F744" s="148"/>
      <c r="G744" s="148"/>
      <c r="H744" s="148"/>
      <c r="I744" s="148"/>
      <c r="J744" s="148"/>
      <c r="K744" s="148"/>
      <c r="L744" s="148"/>
      <c r="M744" s="148"/>
      <c r="N744" s="148"/>
      <c r="O744" s="148"/>
      <c r="P744" s="148"/>
      <c r="Q744" s="148"/>
      <c r="R744" s="148"/>
      <c r="S744" s="148"/>
      <c r="T744" s="148"/>
      <c r="U744" s="148"/>
      <c r="V744" s="148"/>
      <c r="W744" s="148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</row>
    <row r="745" spans="1:55" x14ac:dyDescent="0.2">
      <c r="A745" s="148"/>
      <c r="B745" s="148"/>
      <c r="C745" s="148"/>
      <c r="D745" s="148"/>
      <c r="E745" s="148"/>
      <c r="F745" s="148"/>
      <c r="G745" s="148"/>
      <c r="H745" s="148"/>
      <c r="I745" s="148"/>
      <c r="J745" s="148"/>
      <c r="K745" s="148"/>
      <c r="L745" s="148"/>
      <c r="M745" s="148"/>
      <c r="N745" s="148"/>
      <c r="O745" s="148"/>
      <c r="P745" s="148"/>
      <c r="Q745" s="148"/>
      <c r="R745" s="148"/>
      <c r="S745" s="148"/>
      <c r="T745" s="148"/>
      <c r="U745" s="148"/>
      <c r="V745" s="148"/>
      <c r="W745" s="148"/>
      <c r="X745" s="148"/>
      <c r="Y745" s="148"/>
      <c r="Z745" s="148"/>
      <c r="AA745" s="148"/>
      <c r="AB745" s="148"/>
      <c r="AC745" s="148"/>
      <c r="AD745" s="148"/>
      <c r="AE745" s="148"/>
      <c r="AF745" s="148"/>
      <c r="AG745" s="148"/>
      <c r="AH745" s="148"/>
      <c r="AI745" s="148"/>
      <c r="AJ745" s="148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</row>
    <row r="746" spans="1:55" x14ac:dyDescent="0.2">
      <c r="A746" s="148"/>
      <c r="B746" s="148"/>
      <c r="C746" s="148"/>
      <c r="D746" s="148"/>
      <c r="E746" s="148"/>
      <c r="F746" s="148"/>
      <c r="G746" s="148"/>
      <c r="H746" s="148"/>
      <c r="I746" s="148"/>
      <c r="J746" s="148"/>
      <c r="K746" s="148"/>
      <c r="L746" s="148"/>
      <c r="M746" s="148"/>
      <c r="N746" s="148"/>
      <c r="O746" s="148"/>
      <c r="P746" s="148"/>
      <c r="Q746" s="148"/>
      <c r="R746" s="148"/>
      <c r="S746" s="148"/>
      <c r="T746" s="148"/>
      <c r="U746" s="148"/>
      <c r="V746" s="148"/>
      <c r="W746" s="148"/>
      <c r="X746" s="148"/>
      <c r="Y746" s="148"/>
      <c r="Z746" s="148"/>
      <c r="AA746" s="148"/>
      <c r="AB746" s="148"/>
      <c r="AC746" s="148"/>
      <c r="AD746" s="148"/>
      <c r="AE746" s="148"/>
      <c r="AF746" s="148"/>
      <c r="AG746" s="148"/>
      <c r="AH746" s="148"/>
      <c r="AI746" s="148"/>
      <c r="AJ746" s="148"/>
      <c r="AK746" s="148"/>
      <c r="AL746" s="148"/>
      <c r="AM746" s="148"/>
      <c r="AN746" s="148"/>
      <c r="AO746" s="148"/>
      <c r="AP746" s="148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48"/>
      <c r="BC746" s="148"/>
    </row>
    <row r="747" spans="1:55" x14ac:dyDescent="0.2">
      <c r="A747" s="148"/>
      <c r="B747" s="148"/>
      <c r="C747" s="148"/>
      <c r="D747" s="148"/>
      <c r="E747" s="148"/>
      <c r="F747" s="148"/>
      <c r="G747" s="148"/>
      <c r="H747" s="148"/>
      <c r="I747" s="148"/>
      <c r="J747" s="148"/>
      <c r="K747" s="148"/>
      <c r="L747" s="148"/>
      <c r="M747" s="148"/>
      <c r="N747" s="148"/>
      <c r="O747" s="148"/>
      <c r="P747" s="148"/>
      <c r="Q747" s="148"/>
      <c r="R747" s="148"/>
      <c r="S747" s="148"/>
      <c r="T747" s="148"/>
      <c r="U747" s="148"/>
      <c r="V747" s="148"/>
      <c r="W747" s="148"/>
      <c r="X747" s="148"/>
      <c r="Y747" s="148"/>
      <c r="Z747" s="148"/>
      <c r="AA747" s="148"/>
      <c r="AB747" s="148"/>
      <c r="AC747" s="148"/>
      <c r="AD747" s="148"/>
      <c r="AE747" s="148"/>
      <c r="AF747" s="148"/>
      <c r="AG747" s="148"/>
      <c r="AH747" s="148"/>
      <c r="AI747" s="148"/>
      <c r="AJ747" s="148"/>
      <c r="AK747" s="148"/>
      <c r="AL747" s="148"/>
      <c r="AM747" s="148"/>
      <c r="AN747" s="148"/>
      <c r="AO747" s="148"/>
      <c r="AP747" s="148"/>
      <c r="AQ747" s="148"/>
      <c r="AR747" s="148"/>
      <c r="AS747" s="148"/>
      <c r="AT747" s="148"/>
      <c r="AU747" s="148"/>
      <c r="AV747" s="148"/>
      <c r="AW747" s="148"/>
      <c r="AX747" s="148"/>
      <c r="AY747" s="148"/>
      <c r="AZ747" s="148"/>
      <c r="BA747" s="148"/>
      <c r="BB747" s="148"/>
      <c r="BC747" s="148"/>
    </row>
    <row r="748" spans="1:55" x14ac:dyDescent="0.2">
      <c r="A748" s="148"/>
      <c r="B748" s="148"/>
      <c r="C748" s="148"/>
      <c r="D748" s="148"/>
      <c r="E748" s="148"/>
      <c r="F748" s="148"/>
      <c r="G748" s="148"/>
      <c r="H748" s="148"/>
      <c r="I748" s="148"/>
      <c r="J748" s="148"/>
      <c r="K748" s="148"/>
      <c r="L748" s="148"/>
      <c r="M748" s="148"/>
      <c r="N748" s="148"/>
      <c r="O748" s="148"/>
      <c r="P748" s="148"/>
      <c r="Q748" s="148"/>
      <c r="R748" s="148"/>
      <c r="S748" s="148"/>
      <c r="T748" s="148"/>
      <c r="U748" s="148"/>
      <c r="V748" s="148"/>
      <c r="W748" s="148"/>
      <c r="X748" s="148"/>
      <c r="Y748" s="148"/>
      <c r="Z748" s="148"/>
      <c r="AA748" s="148"/>
      <c r="AB748" s="148"/>
      <c r="AC748" s="148"/>
      <c r="AD748" s="148"/>
      <c r="AE748" s="148"/>
      <c r="AF748" s="148"/>
      <c r="AG748" s="148"/>
      <c r="AH748" s="148"/>
      <c r="AI748" s="148"/>
      <c r="AJ748" s="148"/>
      <c r="AK748" s="148"/>
      <c r="AL748" s="148"/>
      <c r="AM748" s="148"/>
      <c r="AN748" s="148"/>
      <c r="AO748" s="148"/>
      <c r="AP748" s="148"/>
      <c r="AQ748" s="148"/>
      <c r="AR748" s="148"/>
      <c r="AS748" s="148"/>
      <c r="AT748" s="148"/>
      <c r="AU748" s="148"/>
      <c r="AV748" s="148"/>
      <c r="AW748" s="148"/>
      <c r="AX748" s="148"/>
      <c r="AY748" s="148"/>
      <c r="AZ748" s="148"/>
      <c r="BA748" s="148"/>
      <c r="BB748" s="148"/>
      <c r="BC748" s="148"/>
    </row>
    <row r="749" spans="1:55" x14ac:dyDescent="0.2">
      <c r="A749" s="148"/>
      <c r="B749" s="148"/>
      <c r="C749" s="148"/>
      <c r="D749" s="148"/>
      <c r="E749" s="148"/>
      <c r="F749" s="148"/>
      <c r="G749" s="148"/>
      <c r="H749" s="148"/>
      <c r="I749" s="148"/>
      <c r="J749" s="148"/>
      <c r="K749" s="148"/>
      <c r="L749" s="148"/>
      <c r="M749" s="148"/>
      <c r="N749" s="148"/>
      <c r="O749" s="148"/>
      <c r="P749" s="148"/>
      <c r="Q749" s="148"/>
      <c r="R749" s="148"/>
      <c r="S749" s="148"/>
      <c r="T749" s="148"/>
      <c r="U749" s="148"/>
      <c r="V749" s="148"/>
      <c r="W749" s="148"/>
      <c r="X749" s="148"/>
      <c r="Y749" s="148"/>
      <c r="Z749" s="148"/>
      <c r="AA749" s="148"/>
      <c r="AB749" s="148"/>
      <c r="AC749" s="148"/>
      <c r="AD749" s="148"/>
      <c r="AE749" s="148"/>
      <c r="AF749" s="148"/>
      <c r="AG749" s="148"/>
      <c r="AH749" s="148"/>
      <c r="AI749" s="148"/>
      <c r="AJ749" s="148"/>
      <c r="AK749" s="148"/>
      <c r="AL749" s="148"/>
      <c r="AM749" s="148"/>
      <c r="AN749" s="148"/>
      <c r="AO749" s="148"/>
      <c r="AP749" s="148"/>
      <c r="AQ749" s="148"/>
      <c r="AR749" s="148"/>
      <c r="AS749" s="148"/>
      <c r="AT749" s="148"/>
      <c r="AU749" s="148"/>
      <c r="AV749" s="148"/>
      <c r="AW749" s="148"/>
      <c r="AX749" s="148"/>
      <c r="AY749" s="148"/>
      <c r="AZ749" s="148"/>
      <c r="BA749" s="148"/>
      <c r="BB749" s="148"/>
      <c r="BC749" s="148"/>
    </row>
  </sheetData>
  <sheetProtection password="C75E" sheet="1"/>
  <mergeCells count="5">
    <mergeCell ref="B8:C8"/>
    <mergeCell ref="D8:E8"/>
    <mergeCell ref="F8:G8"/>
    <mergeCell ref="A30:G30"/>
    <mergeCell ref="A25:G25"/>
  </mergeCells>
  <hyperlinks>
    <hyperlink ref="A2" location="Etusivu!A1" tooltip="Tästä pääset etusivulle" display="Etusivu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13</vt:i4>
      </vt:variant>
      <vt:variant>
        <vt:lpstr>Nimetyt alueet</vt:lpstr>
      </vt:variant>
      <vt:variant>
        <vt:i4>12</vt:i4>
      </vt:variant>
    </vt:vector>
  </HeadingPairs>
  <TitlesOfParts>
    <vt:vector size="25" baseType="lpstr">
      <vt:lpstr>Etusivu</vt:lpstr>
      <vt:lpstr>Pyöreät kanavat ja osat</vt:lpstr>
      <vt:lpstr>Suorakaidekanavat</vt:lpstr>
      <vt:lpstr>Venttiilit</vt:lpstr>
      <vt:lpstr>Ilmanvaihtokoneet</vt:lpstr>
      <vt:lpstr>Pienkojeet</vt:lpstr>
      <vt:lpstr>Aksiaalipuhaltimet</vt:lpstr>
      <vt:lpstr>Lyhenteitä</vt:lpstr>
      <vt:lpstr>Urakkatunnit</vt:lpstr>
      <vt:lpstr>Välipohjat</vt:lpstr>
      <vt:lpstr>NHK muuttuu kesken urakan</vt:lpstr>
      <vt:lpstr>Etumieslisä</vt:lpstr>
      <vt:lpstr>Jakolista</vt:lpstr>
      <vt:lpstr>Aksiaalipuhaltimet!Tulostusalue</vt:lpstr>
      <vt:lpstr>Etumieslisä!Tulostusalue</vt:lpstr>
      <vt:lpstr>Etusivu!Tulostusalue</vt:lpstr>
      <vt:lpstr>Ilmanvaihtokoneet!Tulostusalue</vt:lpstr>
      <vt:lpstr>Jakolista!Tulostusalue</vt:lpstr>
      <vt:lpstr>'NHK muuttuu kesken urakan'!Tulostusalue</vt:lpstr>
      <vt:lpstr>Pienkojeet!Tulostusalue</vt:lpstr>
      <vt:lpstr>'Pyöreät kanavat ja osat'!Tulostusalue</vt:lpstr>
      <vt:lpstr>Suorakaidekanavat!Tulostusalue</vt:lpstr>
      <vt:lpstr>Urakkatunnit!Tulostusalue</vt:lpstr>
      <vt:lpstr>Venttiilit!Tulostusalue</vt:lpstr>
      <vt:lpstr>Välipohjat!Tulostusalue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IV- käsinlaskenta</dc:subject>
  <dc:creator>Räsänen Niko</dc:creator>
  <cp:lastModifiedBy>Niko Räsänen</cp:lastModifiedBy>
  <cp:lastPrinted>2022-04-12T10:44:58Z</cp:lastPrinted>
  <dcterms:created xsi:type="dcterms:W3CDTF">2003-02-04T05:32:59Z</dcterms:created>
  <dcterms:modified xsi:type="dcterms:W3CDTF">2022-08-17T07:20:45Z</dcterms:modified>
</cp:coreProperties>
</file>